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Area Sistemas\Downloads\"/>
    </mc:Choice>
  </mc:AlternateContent>
  <xr:revisionPtr revIDLastSave="0" documentId="13_ncr:1_{7B38CFA2-B2F0-44C6-B373-73F85CA86F79}" xr6:coauthVersionLast="43" xr6:coauthVersionMax="47" xr10:uidLastSave="{00000000-0000-0000-0000-000000000000}"/>
  <bookViews>
    <workbookView xWindow="-120" yWindow="-120" windowWidth="21840" windowHeight="13140"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calcPr calcId="191028"/>
  <pivotCaches>
    <pivotCache cacheId="0" r:id="rId22"/>
  </pivotCaches>
  <extLst>
    <ext xmlns:mx="http://schemas.microsoft.com/office/mac/excel/2008/main" uri="{7523E5D3-25F3-A5E0-1632-64F254C22452}">
      <mx:ArchID Flags="2"/>
    </ext>
  </extLst>
</workbook>
</file>

<file path=xl/calcChain.xml><?xml version="1.0" encoding="utf-8"?>
<calcChain xmlns="http://schemas.openxmlformats.org/spreadsheetml/2006/main">
  <c r="S65" i="1" l="1"/>
  <c r="AD65" i="1"/>
  <c r="S66" i="1"/>
  <c r="AD66" i="1"/>
  <c r="J35" i="1"/>
  <c r="K35" i="1"/>
  <c r="M35" i="1"/>
  <c r="N35" i="1"/>
  <c r="O35" i="1"/>
  <c r="S35" i="1"/>
  <c r="V35" i="1"/>
  <c r="Z35" i="1"/>
  <c r="AA35" i="1"/>
  <c r="P35" i="1"/>
  <c r="AD35" i="1"/>
  <c r="AC35" i="1"/>
  <c r="AB35" i="1"/>
  <c r="AE35" i="1"/>
  <c r="O34" i="1"/>
  <c r="K34" i="1"/>
  <c r="P34" i="1"/>
  <c r="P33" i="1"/>
  <c r="P32" i="1"/>
  <c r="J31" i="1"/>
  <c r="K31" i="1"/>
  <c r="V102" i="1"/>
  <c r="S102" i="1"/>
  <c r="M102" i="1"/>
  <c r="N102" i="1"/>
  <c r="O102" i="1"/>
  <c r="J102" i="1"/>
  <c r="V66" i="1"/>
  <c r="V65" i="1"/>
  <c r="AC65" i="1"/>
  <c r="V64" i="1"/>
  <c r="S64" i="1"/>
  <c r="M64" i="1"/>
  <c r="N64" i="1"/>
  <c r="O64" i="1"/>
  <c r="J64" i="1"/>
  <c r="V41" i="1"/>
  <c r="S41" i="1"/>
  <c r="V40" i="1"/>
  <c r="S40" i="1"/>
  <c r="V39" i="1"/>
  <c r="S39" i="1"/>
  <c r="M39" i="1"/>
  <c r="N39" i="1"/>
  <c r="O39" i="1"/>
  <c r="J39" i="1"/>
  <c r="V38" i="1"/>
  <c r="S38" i="1"/>
  <c r="V37" i="1"/>
  <c r="S37" i="1"/>
  <c r="V36" i="1"/>
  <c r="S36" i="1"/>
  <c r="M36" i="1"/>
  <c r="N36" i="1"/>
  <c r="O36" i="1"/>
  <c r="J36" i="1"/>
  <c r="V34" i="1"/>
  <c r="S34" i="1"/>
  <c r="AD34" i="1"/>
  <c r="AC34" i="1"/>
  <c r="V33" i="1"/>
  <c r="S33" i="1"/>
  <c r="AD33" i="1"/>
  <c r="AC33" i="1"/>
  <c r="V32" i="1"/>
  <c r="S32" i="1"/>
  <c r="AD32" i="1"/>
  <c r="AC32" i="1"/>
  <c r="V31" i="1"/>
  <c r="S31" i="1"/>
  <c r="M38" i="1"/>
  <c r="M66" i="1"/>
  <c r="M41" i="1"/>
  <c r="M33" i="1"/>
  <c r="M37" i="1"/>
  <c r="M40" i="1"/>
  <c r="AC66" i="1"/>
  <c r="AD64" i="1"/>
  <c r="AC64" i="1"/>
  <c r="AD102" i="1"/>
  <c r="AC102" i="1"/>
  <c r="P102" i="1"/>
  <c r="K102" i="1"/>
  <c r="Z102" i="1"/>
  <c r="P64" i="1"/>
  <c r="K64" i="1"/>
  <c r="P36" i="1"/>
  <c r="P39" i="1"/>
  <c r="AD37" i="1"/>
  <c r="AD36" i="1"/>
  <c r="AC36" i="1"/>
  <c r="AD39" i="1"/>
  <c r="AC39" i="1"/>
  <c r="K36" i="1"/>
  <c r="Z36" i="1"/>
  <c r="K39" i="1"/>
  <c r="Z39" i="1"/>
  <c r="Z32" i="1" a="1"/>
  <c r="Z32" i="1"/>
  <c r="AA32" i="1"/>
  <c r="AE32" i="1"/>
  <c r="Z31" i="1"/>
  <c r="AB31" i="1"/>
  <c r="Z33" i="1"/>
  <c r="AA102" i="1"/>
  <c r="AE102" i="1"/>
  <c r="AB102" i="1"/>
  <c r="Z65" i="1" a="1"/>
  <c r="Z65" i="1"/>
  <c r="Z64" i="1"/>
  <c r="AA31" i="1"/>
  <c r="AA39" i="1"/>
  <c r="AE39" i="1"/>
  <c r="AB39" i="1"/>
  <c r="Z40" i="1"/>
  <c r="AA36" i="1"/>
  <c r="AE36" i="1"/>
  <c r="AB36" i="1"/>
  <c r="Z37" i="1"/>
  <c r="AD40" i="1"/>
  <c r="AD38" i="1"/>
  <c r="AC38" i="1"/>
  <c r="AC37" i="1"/>
  <c r="AB32" i="1"/>
  <c r="Z34" i="1"/>
  <c r="AA34" i="1"/>
  <c r="AE34" i="1"/>
  <c r="AA33" i="1"/>
  <c r="AE33" i="1"/>
  <c r="AB33" i="1"/>
  <c r="J68" i="1"/>
  <c r="K68" i="1"/>
  <c r="S68" i="1"/>
  <c r="V68" i="1"/>
  <c r="J69" i="1"/>
  <c r="K69" i="1"/>
  <c r="M69" i="1"/>
  <c r="N69" i="1"/>
  <c r="S69" i="1"/>
  <c r="V69" i="1"/>
  <c r="J70" i="1"/>
  <c r="K70" i="1"/>
  <c r="M70" i="1"/>
  <c r="N70" i="1"/>
  <c r="O70" i="1"/>
  <c r="S70" i="1"/>
  <c r="V70" i="1"/>
  <c r="M71" i="1"/>
  <c r="Z69" i="1"/>
  <c r="Z70" i="1"/>
  <c r="AB64" i="1"/>
  <c r="Z66" i="1"/>
  <c r="AA64" i="1"/>
  <c r="AE64" i="1"/>
  <c r="AB65" i="1"/>
  <c r="AA65" i="1"/>
  <c r="AE65" i="1"/>
  <c r="AB34" i="1"/>
  <c r="AB37" i="1"/>
  <c r="Z38" i="1"/>
  <c r="AA37" i="1"/>
  <c r="AE37" i="1"/>
  <c r="AB40" i="1"/>
  <c r="Z41" i="1"/>
  <c r="AA40" i="1"/>
  <c r="AD41" i="1"/>
  <c r="AC41" i="1"/>
  <c r="AC40" i="1"/>
  <c r="M31" i="1"/>
  <c r="N31" i="1"/>
  <c r="P31" i="1"/>
  <c r="O69" i="1"/>
  <c r="AD69" i="1"/>
  <c r="AC69" i="1"/>
  <c r="P69" i="1"/>
  <c r="Z68" i="1"/>
  <c r="AA68" i="1"/>
  <c r="AA70" i="1"/>
  <c r="AB70" i="1"/>
  <c r="AB69" i="1"/>
  <c r="AA69" i="1"/>
  <c r="P70" i="1"/>
  <c r="AD70" i="1"/>
  <c r="AC70" i="1"/>
  <c r="S71" i="1"/>
  <c r="Z71" i="1"/>
  <c r="AA71" i="1"/>
  <c r="V71" i="1"/>
  <c r="M72" i="1"/>
  <c r="AD71" i="1"/>
  <c r="AC71" i="1"/>
  <c r="AB68" i="1"/>
  <c r="AA66" i="1"/>
  <c r="AE66" i="1"/>
  <c r="AB66" i="1"/>
  <c r="AE40" i="1"/>
  <c r="AE69" i="1"/>
  <c r="AA41" i="1"/>
  <c r="AE41" i="1"/>
  <c r="AB41" i="1"/>
  <c r="AA38" i="1"/>
  <c r="AE38" i="1"/>
  <c r="AB38" i="1"/>
  <c r="O31" i="1"/>
  <c r="AD31" i="1"/>
  <c r="AC31" i="1"/>
  <c r="AE31" i="1"/>
  <c r="AE71" i="1"/>
  <c r="AB71" i="1"/>
  <c r="AE70" i="1"/>
  <c r="S72" i="1"/>
  <c r="Z72" i="1"/>
  <c r="V72" i="1"/>
  <c r="M73" i="1"/>
  <c r="AA72" i="1"/>
  <c r="AB72" i="1"/>
  <c r="AD72" i="1"/>
  <c r="AC72" i="1"/>
  <c r="S73" i="1"/>
  <c r="Z73" i="1"/>
  <c r="V73" i="1"/>
  <c r="M74" i="1"/>
  <c r="AE72" i="1"/>
  <c r="AA73" i="1"/>
  <c r="AB73" i="1"/>
  <c r="AD73" i="1"/>
  <c r="AC73" i="1"/>
  <c r="S74" i="1"/>
  <c r="Z74" i="1"/>
  <c r="V74" i="1"/>
  <c r="M75" i="1"/>
  <c r="AE73" i="1"/>
  <c r="AA74" i="1"/>
  <c r="AB74" i="1"/>
  <c r="AD74" i="1"/>
  <c r="AC74" i="1"/>
  <c r="S75" i="1"/>
  <c r="Z75" i="1"/>
  <c r="V75" i="1"/>
  <c r="AE74" i="1"/>
  <c r="AA75" i="1"/>
  <c r="AB75" i="1"/>
  <c r="AD75" i="1"/>
  <c r="AC75" i="1"/>
  <c r="AE75" i="1"/>
  <c r="V53" i="1"/>
  <c r="S53" i="1"/>
  <c r="AC53" i="1"/>
  <c r="AE53" i="1"/>
  <c r="V101" i="1"/>
  <c r="S101" i="1"/>
  <c r="J101" i="1"/>
  <c r="V100" i="1"/>
  <c r="S100" i="1"/>
  <c r="J100" i="1"/>
  <c r="K100" i="1"/>
  <c r="V99" i="1"/>
  <c r="S99" i="1"/>
  <c r="J99" i="1"/>
  <c r="V98" i="1"/>
  <c r="S98" i="1"/>
  <c r="V97" i="1"/>
  <c r="S97" i="1"/>
  <c r="V96" i="1"/>
  <c r="S96" i="1"/>
  <c r="M96" i="1"/>
  <c r="N96" i="1"/>
  <c r="O96" i="1"/>
  <c r="J96" i="1"/>
  <c r="V95" i="1"/>
  <c r="S95" i="1"/>
  <c r="V94" i="1"/>
  <c r="S94" i="1"/>
  <c r="V93" i="1"/>
  <c r="S93" i="1"/>
  <c r="M93" i="1"/>
  <c r="N93" i="1"/>
  <c r="O93" i="1"/>
  <c r="J93" i="1"/>
  <c r="V92" i="1"/>
  <c r="S92" i="1"/>
  <c r="V91" i="1"/>
  <c r="S91" i="1"/>
  <c r="V90" i="1"/>
  <c r="S90" i="1"/>
  <c r="M90" i="1"/>
  <c r="N90" i="1"/>
  <c r="O90" i="1"/>
  <c r="J90" i="1"/>
  <c r="V89" i="1"/>
  <c r="S89" i="1"/>
  <c r="V88" i="1"/>
  <c r="S88" i="1"/>
  <c r="V87" i="1"/>
  <c r="S87" i="1"/>
  <c r="V86" i="1"/>
  <c r="S86" i="1"/>
  <c r="V85" i="1"/>
  <c r="S85" i="1"/>
  <c r="V84" i="1"/>
  <c r="S84" i="1"/>
  <c r="M84" i="1"/>
  <c r="N84" i="1"/>
  <c r="J84" i="1"/>
  <c r="K84" i="1"/>
  <c r="V83" i="1"/>
  <c r="S83" i="1"/>
  <c r="V82" i="1"/>
  <c r="S82" i="1"/>
  <c r="V81" i="1"/>
  <c r="S81" i="1"/>
  <c r="V80" i="1"/>
  <c r="S80" i="1"/>
  <c r="V79" i="1"/>
  <c r="S79" i="1"/>
  <c r="M79" i="1"/>
  <c r="N79" i="1"/>
  <c r="O79" i="1"/>
  <c r="J79" i="1"/>
  <c r="K79" i="1"/>
  <c r="V78" i="1"/>
  <c r="S78" i="1"/>
  <c r="V77" i="1"/>
  <c r="S77" i="1"/>
  <c r="V76" i="1"/>
  <c r="S76" i="1"/>
  <c r="M76" i="1"/>
  <c r="N76" i="1"/>
  <c r="O76" i="1"/>
  <c r="J76" i="1"/>
  <c r="M81" i="1"/>
  <c r="M85" i="1"/>
  <c r="M92" i="1"/>
  <c r="M80" i="1"/>
  <c r="M97" i="1"/>
  <c r="M88" i="1"/>
  <c r="M95" i="1"/>
  <c r="M78" i="1"/>
  <c r="M94" i="1"/>
  <c r="M91" i="1"/>
  <c r="M89" i="1"/>
  <c r="M77" i="1"/>
  <c r="M83" i="1"/>
  <c r="M87" i="1"/>
  <c r="M86" i="1"/>
  <c r="M82" i="1"/>
  <c r="M98" i="1"/>
  <c r="AD79" i="1"/>
  <c r="AC79" i="1"/>
  <c r="P84" i="1"/>
  <c r="AD93" i="1"/>
  <c r="AC93" i="1"/>
  <c r="Z100" i="1"/>
  <c r="K99" i="1"/>
  <c r="Z99" i="1"/>
  <c r="K101" i="1"/>
  <c r="Z101" i="1"/>
  <c r="P93" i="1"/>
  <c r="P76" i="1"/>
  <c r="P79" i="1"/>
  <c r="AD76" i="1"/>
  <c r="AC76" i="1"/>
  <c r="Z79" i="1"/>
  <c r="AB79" i="1"/>
  <c r="Z80" i="1"/>
  <c r="AD90" i="1"/>
  <c r="AC90" i="1"/>
  <c r="AD96" i="1"/>
  <c r="AC96" i="1"/>
  <c r="P90" i="1"/>
  <c r="P96" i="1"/>
  <c r="K76" i="1"/>
  <c r="Z76" i="1"/>
  <c r="O84" i="1"/>
  <c r="AD84" i="1"/>
  <c r="AC84" i="1"/>
  <c r="Z84" i="1"/>
  <c r="K90" i="1"/>
  <c r="Z90" i="1"/>
  <c r="K93" i="1"/>
  <c r="Z93" i="1"/>
  <c r="K96" i="1"/>
  <c r="Z96" i="1"/>
  <c r="AD85" i="1"/>
  <c r="AD86" i="1"/>
  <c r="AC86" i="1"/>
  <c r="AD97" i="1"/>
  <c r="AC97" i="1"/>
  <c r="AB100" i="1"/>
  <c r="AA100" i="1"/>
  <c r="AA101" i="1"/>
  <c r="AB101" i="1"/>
  <c r="AA99" i="1"/>
  <c r="AB99" i="1"/>
  <c r="AA79" i="1"/>
  <c r="AE79" i="1"/>
  <c r="AD77" i="1"/>
  <c r="AC77" i="1"/>
  <c r="AD80" i="1"/>
  <c r="AC80" i="1"/>
  <c r="AD94" i="1"/>
  <c r="AC94" i="1"/>
  <c r="AB93" i="1"/>
  <c r="Z94" i="1"/>
  <c r="AA93" i="1"/>
  <c r="AE93" i="1"/>
  <c r="AD91" i="1"/>
  <c r="AB76" i="1"/>
  <c r="Z77" i="1"/>
  <c r="AA76" i="1"/>
  <c r="AE76" i="1"/>
  <c r="AB84" i="1"/>
  <c r="Z85" i="1"/>
  <c r="AA84" i="1"/>
  <c r="AE84" i="1"/>
  <c r="AB96" i="1"/>
  <c r="Z97" i="1"/>
  <c r="AA96" i="1"/>
  <c r="AE96" i="1"/>
  <c r="AB90" i="1"/>
  <c r="Z91" i="1"/>
  <c r="AA90" i="1"/>
  <c r="AE90" i="1"/>
  <c r="AB80" i="1"/>
  <c r="Z81" i="1"/>
  <c r="AA80" i="1"/>
  <c r="AC85" i="1"/>
  <c r="AD87" i="1"/>
  <c r="AC87" i="1"/>
  <c r="AD98" i="1"/>
  <c r="AC98" i="1"/>
  <c r="AD78" i="1"/>
  <c r="AC78" i="1"/>
  <c r="AE80" i="1"/>
  <c r="AD81" i="1"/>
  <c r="AC81" i="1"/>
  <c r="AD95" i="1"/>
  <c r="AC95" i="1"/>
  <c r="AD82" i="1"/>
  <c r="AC82" i="1"/>
  <c r="AD88" i="1"/>
  <c r="AB91" i="1"/>
  <c r="Z92" i="1"/>
  <c r="AA91" i="1"/>
  <c r="AA85" i="1"/>
  <c r="AE85" i="1"/>
  <c r="AB85" i="1"/>
  <c r="Z86" i="1"/>
  <c r="AB77" i="1"/>
  <c r="Z78" i="1"/>
  <c r="AA77" i="1"/>
  <c r="AE77" i="1"/>
  <c r="AB81" i="1"/>
  <c r="AA81" i="1"/>
  <c r="AE81" i="1"/>
  <c r="AB97" i="1"/>
  <c r="Z98" i="1"/>
  <c r="AA97" i="1"/>
  <c r="AE97" i="1"/>
  <c r="AC91" i="1"/>
  <c r="AD92" i="1"/>
  <c r="AC92" i="1"/>
  <c r="AB94" i="1"/>
  <c r="Z95" i="1"/>
  <c r="AA94" i="1"/>
  <c r="AE94" i="1"/>
  <c r="AD83" i="1"/>
  <c r="AC83" i="1"/>
  <c r="AE91" i="1"/>
  <c r="AA95" i="1"/>
  <c r="AE95" i="1"/>
  <c r="AB95" i="1"/>
  <c r="AA98" i="1"/>
  <c r="AE98" i="1"/>
  <c r="AB98" i="1"/>
  <c r="AA78" i="1"/>
  <c r="AE78" i="1"/>
  <c r="AB78" i="1"/>
  <c r="AA92" i="1"/>
  <c r="AE92" i="1"/>
  <c r="AB92" i="1"/>
  <c r="AA86" i="1"/>
  <c r="AE86" i="1"/>
  <c r="AB86" i="1"/>
  <c r="Z87" i="1"/>
  <c r="AC88" i="1"/>
  <c r="AD89" i="1"/>
  <c r="AC89" i="1"/>
  <c r="Z82" i="1"/>
  <c r="Z83" i="1"/>
  <c r="AA82" i="1"/>
  <c r="AE82" i="1"/>
  <c r="AB82" i="1"/>
  <c r="AA83" i="1"/>
  <c r="AE83" i="1"/>
  <c r="AB83" i="1"/>
  <c r="AB87" i="1"/>
  <c r="AA87" i="1"/>
  <c r="AE87" i="1"/>
  <c r="Z89" i="1"/>
  <c r="Z88" i="1"/>
  <c r="AB88" i="1"/>
  <c r="AA88" i="1"/>
  <c r="AE88" i="1"/>
  <c r="AA89" i="1"/>
  <c r="AE89" i="1"/>
  <c r="AB89" i="1"/>
  <c r="V67" i="1"/>
  <c r="S67" i="1"/>
  <c r="J67" i="1"/>
  <c r="K67" i="1"/>
  <c r="Z67" i="1"/>
  <c r="AB67" i="1"/>
  <c r="AA67" i="1"/>
  <c r="M67" i="1"/>
  <c r="N67" i="1"/>
  <c r="O67" i="1"/>
  <c r="AD67" i="1"/>
  <c r="AC67" i="1"/>
  <c r="AE67" i="1"/>
  <c r="P67" i="1"/>
  <c r="V63" i="1"/>
  <c r="S63" i="1"/>
  <c r="J63" i="1"/>
  <c r="V62" i="1"/>
  <c r="S62" i="1"/>
  <c r="J62" i="1"/>
  <c r="V61" i="1"/>
  <c r="S61" i="1"/>
  <c r="J61" i="1"/>
  <c r="V60" i="1"/>
  <c r="S60" i="1"/>
  <c r="J60" i="1"/>
  <c r="V59" i="1"/>
  <c r="S59" i="1"/>
  <c r="J59" i="1"/>
  <c r="V58" i="1"/>
  <c r="S58" i="1"/>
  <c r="J58" i="1"/>
  <c r="V57" i="1"/>
  <c r="S57" i="1"/>
  <c r="J57" i="1"/>
  <c r="K58" i="1"/>
  <c r="Z58" i="1"/>
  <c r="K60" i="1"/>
  <c r="Z60" i="1"/>
  <c r="K62" i="1"/>
  <c r="Z62" i="1"/>
  <c r="K57" i="1"/>
  <c r="Z57" i="1"/>
  <c r="K59" i="1"/>
  <c r="Z59" i="1"/>
  <c r="K61" i="1"/>
  <c r="Z61" i="1"/>
  <c r="K63" i="1"/>
  <c r="Z63" i="1"/>
  <c r="AA63" i="1"/>
  <c r="AB63" i="1"/>
  <c r="AA61" i="1"/>
  <c r="AB61" i="1"/>
  <c r="AA59" i="1"/>
  <c r="AB59" i="1"/>
  <c r="AA57" i="1"/>
  <c r="AB57" i="1"/>
  <c r="AB62" i="1"/>
  <c r="AA62" i="1"/>
  <c r="M63" i="1"/>
  <c r="N63" i="1"/>
  <c r="M61" i="1"/>
  <c r="N61" i="1"/>
  <c r="M59" i="1"/>
  <c r="N59" i="1"/>
  <c r="M57" i="1"/>
  <c r="N57" i="1"/>
  <c r="AB60" i="1"/>
  <c r="AA60" i="1"/>
  <c r="M62" i="1"/>
  <c r="N62" i="1"/>
  <c r="M60" i="1"/>
  <c r="N60" i="1"/>
  <c r="M58" i="1"/>
  <c r="N58" i="1"/>
  <c r="AB58" i="1"/>
  <c r="AA58" i="1"/>
  <c r="O58" i="1"/>
  <c r="AD58" i="1"/>
  <c r="AC58" i="1"/>
  <c r="AE58" i="1"/>
  <c r="P58" i="1"/>
  <c r="O63" i="1"/>
  <c r="AD63" i="1"/>
  <c r="AC63" i="1"/>
  <c r="P63" i="1"/>
  <c r="O61" i="1"/>
  <c r="AD61" i="1"/>
  <c r="AC61" i="1"/>
  <c r="AE61" i="1"/>
  <c r="P61" i="1"/>
  <c r="O60" i="1"/>
  <c r="AD60" i="1"/>
  <c r="AC60" i="1"/>
  <c r="AE60" i="1"/>
  <c r="P60" i="1"/>
  <c r="O57" i="1"/>
  <c r="AD57" i="1"/>
  <c r="AC57" i="1"/>
  <c r="AE57" i="1"/>
  <c r="P57" i="1"/>
  <c r="O62" i="1"/>
  <c r="AD62" i="1"/>
  <c r="AC62" i="1"/>
  <c r="AE62" i="1"/>
  <c r="P62" i="1"/>
  <c r="O59" i="1"/>
  <c r="AD59" i="1"/>
  <c r="AC59" i="1"/>
  <c r="AE59" i="1"/>
  <c r="P59" i="1"/>
  <c r="AE63" i="1"/>
  <c r="V56" i="1"/>
  <c r="S56" i="1"/>
  <c r="J56" i="1"/>
  <c r="V55" i="1"/>
  <c r="S55" i="1"/>
  <c r="J55" i="1"/>
  <c r="V54" i="1"/>
  <c r="S54" i="1"/>
  <c r="V52" i="1"/>
  <c r="S52" i="1"/>
  <c r="J52" i="1"/>
  <c r="V51" i="1"/>
  <c r="S51" i="1"/>
  <c r="V50" i="1"/>
  <c r="S50" i="1"/>
  <c r="J50" i="1"/>
  <c r="V49" i="1"/>
  <c r="S49" i="1"/>
  <c r="V48" i="1"/>
  <c r="S48" i="1"/>
  <c r="J48" i="1"/>
  <c r="K48" i="1"/>
  <c r="V47" i="1"/>
  <c r="S47" i="1"/>
  <c r="AC47" i="1"/>
  <c r="V46" i="1"/>
  <c r="S46" i="1"/>
  <c r="J46" i="1"/>
  <c r="V45" i="1"/>
  <c r="S45" i="1"/>
  <c r="V44" i="1"/>
  <c r="S44" i="1"/>
  <c r="J44" i="1"/>
  <c r="V43" i="1"/>
  <c r="S43" i="1"/>
  <c r="V42" i="1"/>
  <c r="S42" i="1"/>
  <c r="J42" i="1"/>
  <c r="M52" i="1"/>
  <c r="J24" i="1"/>
  <c r="K24" i="1"/>
  <c r="S24" i="1"/>
  <c r="V24" i="1"/>
  <c r="M54" i="1"/>
  <c r="M47" i="1"/>
  <c r="M43" i="1"/>
  <c r="M49" i="1"/>
  <c r="M26" i="1"/>
  <c r="M51" i="1"/>
  <c r="M45" i="1"/>
  <c r="N52" i="1"/>
  <c r="O52" i="1"/>
  <c r="AD52" i="1"/>
  <c r="AC52" i="1"/>
  <c r="AC51" i="1"/>
  <c r="Z47" i="1"/>
  <c r="M56" i="1"/>
  <c r="N56" i="1"/>
  <c r="O56" i="1"/>
  <c r="AD56" i="1"/>
  <c r="AC56" i="1"/>
  <c r="K46" i="1"/>
  <c r="Z46" i="1"/>
  <c r="K44" i="1"/>
  <c r="Z44" i="1"/>
  <c r="M46" i="1"/>
  <c r="K52" i="1"/>
  <c r="Z52" i="1"/>
  <c r="AA52" i="1"/>
  <c r="M55" i="1"/>
  <c r="N55" i="1"/>
  <c r="O55" i="1"/>
  <c r="AD55" i="1"/>
  <c r="AC55" i="1"/>
  <c r="M42" i="1"/>
  <c r="N42" i="1"/>
  <c r="O42" i="1"/>
  <c r="AD42" i="1"/>
  <c r="AC42" i="1"/>
  <c r="M50" i="1"/>
  <c r="M48" i="1"/>
  <c r="N48" i="1"/>
  <c r="K55" i="1"/>
  <c r="Z55" i="1"/>
  <c r="K42" i="1"/>
  <c r="Z42" i="1"/>
  <c r="M44" i="1"/>
  <c r="N44" i="1"/>
  <c r="O44" i="1"/>
  <c r="AD44" i="1"/>
  <c r="AC44" i="1"/>
  <c r="Z48" i="1"/>
  <c r="K50" i="1"/>
  <c r="Z50" i="1"/>
  <c r="K56" i="1"/>
  <c r="Z56" i="1"/>
  <c r="Z24" i="1"/>
  <c r="AA24" i="1"/>
  <c r="S26" i="1"/>
  <c r="V26" i="1"/>
  <c r="P52" i="1"/>
  <c r="P42" i="1"/>
  <c r="P44" i="1"/>
  <c r="P56" i="1"/>
  <c r="AA56" i="1"/>
  <c r="AE56" i="1"/>
  <c r="AB56" i="1"/>
  <c r="AA42" i="1"/>
  <c r="AE42" i="1"/>
  <c r="AB42" i="1"/>
  <c r="Z43" i="1"/>
  <c r="AA50" i="1"/>
  <c r="AB50" i="1"/>
  <c r="Z51" i="1"/>
  <c r="AA51" i="1"/>
  <c r="AB44" i="1"/>
  <c r="Z45" i="1"/>
  <c r="AA45" i="1"/>
  <c r="AA44" i="1"/>
  <c r="AE44" i="1"/>
  <c r="AB48" i="1"/>
  <c r="Z49" i="1"/>
  <c r="AA48" i="1"/>
  <c r="AA55" i="1"/>
  <c r="AE55" i="1"/>
  <c r="AB55" i="1"/>
  <c r="AB52" i="1"/>
  <c r="Z54" i="1"/>
  <c r="AE52" i="1"/>
  <c r="P55" i="1"/>
  <c r="N46" i="1"/>
  <c r="N50" i="1"/>
  <c r="AB46" i="1"/>
  <c r="AA46" i="1"/>
  <c r="O48" i="1"/>
  <c r="AD48" i="1"/>
  <c r="AC48" i="1"/>
  <c r="P48" i="1"/>
  <c r="AD43" i="1"/>
  <c r="AC43" i="1"/>
  <c r="AD45" i="1"/>
  <c r="AC45" i="1"/>
  <c r="AB24" i="1"/>
  <c r="V30" i="1"/>
  <c r="V20" i="1"/>
  <c r="S20" i="1"/>
  <c r="J20" i="1"/>
  <c r="K20" i="1"/>
  <c r="F221" i="13"/>
  <c r="F211" i="13"/>
  <c r="F212" i="13"/>
  <c r="F213" i="13"/>
  <c r="F214" i="13"/>
  <c r="F215" i="13"/>
  <c r="F216" i="13"/>
  <c r="F217" i="13"/>
  <c r="F218" i="13"/>
  <c r="F219" i="13"/>
  <c r="F220" i="13"/>
  <c r="F210" i="13"/>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S30" i="1"/>
  <c r="J30" i="1"/>
  <c r="K30" i="1"/>
  <c r="V29" i="1"/>
  <c r="S29" i="1"/>
  <c r="V27" i="1"/>
  <c r="S27" i="1"/>
  <c r="J27" i="1"/>
  <c r="K27" i="1"/>
  <c r="V25" i="1"/>
  <c r="S25" i="1"/>
  <c r="J23" i="1"/>
  <c r="K23" i="1"/>
  <c r="V23" i="1"/>
  <c r="S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V21" i="1"/>
  <c r="V22" i="1"/>
  <c r="S22" i="1"/>
  <c r="S21" i="1"/>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M25" i="1"/>
  <c r="M21" i="1"/>
  <c r="M29" i="1"/>
  <c r="B221" i="13" a="1"/>
  <c r="B221" i="13"/>
  <c r="B222" i="13"/>
  <c r="H210" i="13"/>
  <c r="M22" i="1"/>
  <c r="AE48" i="1"/>
  <c r="O50" i="1"/>
  <c r="AD50" i="1"/>
  <c r="P50" i="1"/>
  <c r="AA54" i="1"/>
  <c r="AB54" i="1"/>
  <c r="AA49" i="1"/>
  <c r="AB49" i="1"/>
  <c r="AE45" i="1"/>
  <c r="AB45" i="1"/>
  <c r="O46" i="1"/>
  <c r="AD46" i="1"/>
  <c r="P46" i="1"/>
  <c r="AE51" i="1"/>
  <c r="AB43" i="1"/>
  <c r="AA43" i="1"/>
  <c r="AE43" i="1"/>
  <c r="Z30" i="1"/>
  <c r="AB30" i="1"/>
  <c r="Z20" i="1"/>
  <c r="AB20" i="1"/>
  <c r="Z21" i="1"/>
  <c r="Z23" i="1"/>
  <c r="AB23" i="1"/>
  <c r="Z27" i="1"/>
  <c r="Z25" i="1"/>
  <c r="B223" i="13"/>
  <c r="AB27" i="1"/>
  <c r="Z29" i="1"/>
  <c r="AB29" i="1"/>
  <c r="AC50" i="1"/>
  <c r="AE50" i="1"/>
  <c r="AD54" i="1"/>
  <c r="AC54" i="1"/>
  <c r="AE54" i="1"/>
  <c r="AC46" i="1"/>
  <c r="AE46" i="1"/>
  <c r="AD49" i="1"/>
  <c r="AC49" i="1"/>
  <c r="AE49" i="1"/>
  <c r="AA30" i="1"/>
  <c r="M24" i="1"/>
  <c r="N24" i="1"/>
  <c r="O24" i="1"/>
  <c r="AD24" i="1"/>
  <c r="AC24" i="1"/>
  <c r="AE24" i="1"/>
  <c r="AA23" i="1"/>
  <c r="AA20" i="1"/>
  <c r="AA27" i="1"/>
  <c r="AB25" i="1"/>
  <c r="Z26" i="1"/>
  <c r="AA25" i="1"/>
  <c r="AB21" i="1"/>
  <c r="Z22" i="1"/>
  <c r="AA21" i="1"/>
  <c r="M27" i="1"/>
  <c r="N27" i="1"/>
  <c r="M30" i="1"/>
  <c r="N30" i="1"/>
  <c r="M23" i="1"/>
  <c r="N23" i="1"/>
  <c r="M20" i="1"/>
  <c r="N20" i="1"/>
  <c r="AA29" i="1"/>
  <c r="P24" i="1"/>
  <c r="AA26" i="1"/>
  <c r="AB26" i="1"/>
  <c r="AA22" i="1"/>
  <c r="AB22" i="1"/>
  <c r="AD30" i="18"/>
  <c r="X6" i="18"/>
  <c r="AJ38" i="18"/>
  <c r="AJ30" i="18"/>
  <c r="AJ22" i="18"/>
  <c r="R22" i="18"/>
  <c r="X30" i="18"/>
  <c r="AJ6" i="18"/>
  <c r="AD38" i="18"/>
  <c r="L14" i="18"/>
  <c r="P23" i="1"/>
  <c r="AD6" i="18"/>
  <c r="AD22" i="18"/>
  <c r="X38" i="18"/>
  <c r="O23" i="1"/>
  <c r="AD23" i="1"/>
  <c r="L30" i="18"/>
  <c r="L38" i="18"/>
  <c r="AD14" i="18"/>
  <c r="AJ14" i="18"/>
  <c r="L22" i="18"/>
  <c r="R6" i="18"/>
  <c r="X14" i="18"/>
  <c r="R14" i="18"/>
  <c r="L6" i="18"/>
  <c r="R30" i="18"/>
  <c r="X22" i="18"/>
  <c r="R38" i="18"/>
  <c r="O30" i="1"/>
  <c r="AD30" i="1"/>
  <c r="AC30" i="1"/>
  <c r="L16" i="18"/>
  <c r="R40" i="18"/>
  <c r="R24" i="18"/>
  <c r="L40" i="18"/>
  <c r="L8" i="18"/>
  <c r="X16" i="18"/>
  <c r="X32" i="18"/>
  <c r="R32" i="18"/>
  <c r="AJ40" i="18"/>
  <c r="AJ16" i="18"/>
  <c r="R16" i="18"/>
  <c r="R8" i="18"/>
  <c r="AD40" i="18"/>
  <c r="AD32" i="18"/>
  <c r="AJ32" i="18"/>
  <c r="AD24" i="18"/>
  <c r="AD8" i="18"/>
  <c r="L24" i="18"/>
  <c r="X40" i="18"/>
  <c r="X24" i="18"/>
  <c r="P30" i="1"/>
  <c r="X8" i="18"/>
  <c r="AJ24" i="18"/>
  <c r="AJ8" i="18"/>
  <c r="L32" i="18"/>
  <c r="AD16" i="18"/>
  <c r="N38" i="18"/>
  <c r="AL30" i="18"/>
  <c r="AL38" i="18"/>
  <c r="T30" i="18"/>
  <c r="N14" i="18"/>
  <c r="AF30" i="18"/>
  <c r="T14" i="18"/>
  <c r="Z22" i="18"/>
  <c r="AL14" i="18"/>
  <c r="Z38" i="18"/>
  <c r="N22" i="18"/>
  <c r="T38" i="18"/>
  <c r="AL6" i="18"/>
  <c r="T22" i="18"/>
  <c r="Z14" i="18"/>
  <c r="AF6" i="18"/>
  <c r="AF14" i="18"/>
  <c r="AF38" i="18"/>
  <c r="AF22" i="18"/>
  <c r="AL22" i="18"/>
  <c r="Z30" i="18"/>
  <c r="Z6" i="18"/>
  <c r="N30" i="18"/>
  <c r="N6" i="18"/>
  <c r="T6" i="18"/>
  <c r="P14" i="18"/>
  <c r="J38" i="18"/>
  <c r="V22" i="18"/>
  <c r="AH6" i="18"/>
  <c r="V14" i="18"/>
  <c r="V6" i="18"/>
  <c r="P20" i="1"/>
  <c r="AB38" i="18"/>
  <c r="AB22" i="18"/>
  <c r="P22" i="18"/>
  <c r="V30" i="18"/>
  <c r="AB30" i="18"/>
  <c r="AB14" i="18"/>
  <c r="O20" i="1"/>
  <c r="AD20" i="1"/>
  <c r="J6" i="18"/>
  <c r="P30" i="18"/>
  <c r="AH22" i="18"/>
  <c r="P6" i="18"/>
  <c r="P38" i="18"/>
  <c r="AH30" i="18"/>
  <c r="J22" i="18"/>
  <c r="V38" i="18"/>
  <c r="AB6" i="18"/>
  <c r="AH14" i="18"/>
  <c r="AH38" i="18"/>
  <c r="J14" i="18"/>
  <c r="J30" i="18"/>
  <c r="J40" i="18"/>
  <c r="J8" i="18"/>
  <c r="AB40" i="18"/>
  <c r="AB32" i="18"/>
  <c r="AH32" i="18"/>
  <c r="AB8" i="18"/>
  <c r="AB24" i="18"/>
  <c r="J16" i="18"/>
  <c r="J24" i="18"/>
  <c r="P32" i="18"/>
  <c r="J32" i="18"/>
  <c r="V24" i="18"/>
  <c r="P8" i="18"/>
  <c r="P24" i="18"/>
  <c r="P16" i="18"/>
  <c r="AH16" i="18"/>
  <c r="P40" i="18"/>
  <c r="V16" i="18"/>
  <c r="V32" i="18"/>
  <c r="P27" i="1"/>
  <c r="AH24" i="18"/>
  <c r="AB16" i="18"/>
  <c r="O27" i="1"/>
  <c r="AD27" i="1"/>
  <c r="AC27" i="1"/>
  <c r="V40" i="18"/>
  <c r="AH40" i="18"/>
  <c r="V8" i="18"/>
  <c r="AH8" i="18"/>
  <c r="J30" i="19"/>
  <c r="AB50" i="19"/>
  <c r="V50" i="19"/>
  <c r="AH40" i="19"/>
  <c r="AE30" i="1"/>
  <c r="P40" i="19"/>
  <c r="V20" i="19"/>
  <c r="AB40" i="19"/>
  <c r="AH30" i="19"/>
  <c r="V10" i="19"/>
  <c r="AB30" i="19"/>
  <c r="J50" i="19"/>
  <c r="AB10" i="19"/>
  <c r="J40" i="19"/>
  <c r="AH10" i="19"/>
  <c r="P30" i="19"/>
  <c r="J10" i="19"/>
  <c r="P20" i="19"/>
  <c r="AH20" i="19"/>
  <c r="V40" i="19"/>
  <c r="V30" i="19"/>
  <c r="P10" i="19"/>
  <c r="P50" i="19"/>
  <c r="AB20" i="19"/>
  <c r="J20" i="19"/>
  <c r="AH50" i="19"/>
  <c r="AE27" i="1"/>
  <c r="P39" i="19"/>
  <c r="V9" i="19"/>
  <c r="V29" i="19"/>
  <c r="P49" i="19"/>
  <c r="AH39" i="19"/>
  <c r="AB19" i="19"/>
  <c r="P9" i="19"/>
  <c r="J29" i="19"/>
  <c r="AB29" i="19"/>
  <c r="V19" i="19"/>
  <c r="AH9" i="19"/>
  <c r="J9" i="19"/>
  <c r="J39" i="19"/>
  <c r="AB9" i="19"/>
  <c r="J19" i="19"/>
  <c r="J49" i="19"/>
  <c r="AH19" i="19"/>
  <c r="AB49" i="19"/>
  <c r="AB39" i="19"/>
  <c r="V39" i="19"/>
  <c r="P29" i="19"/>
  <c r="P19" i="19"/>
  <c r="AH29" i="19"/>
  <c r="AH49" i="19"/>
  <c r="V49" i="19"/>
  <c r="AD25" i="1"/>
  <c r="AD26" i="1"/>
  <c r="AC26" i="1"/>
  <c r="AE26" i="1"/>
  <c r="AC23" i="1"/>
  <c r="AC20" i="1"/>
  <c r="AD21" i="1"/>
  <c r="AD29" i="1"/>
  <c r="AC29" i="1"/>
  <c r="AC21" i="1"/>
  <c r="AD22" i="1"/>
  <c r="AC22" i="1"/>
  <c r="P16" i="19"/>
  <c r="V26" i="19"/>
  <c r="P6" i="19"/>
  <c r="AH36" i="19"/>
  <c r="AH6" i="19"/>
  <c r="P26" i="19"/>
  <c r="AH16" i="19"/>
  <c r="V16" i="19"/>
  <c r="P46" i="19"/>
  <c r="V6" i="19"/>
  <c r="AE20" i="1"/>
  <c r="AB36" i="19"/>
  <c r="P36" i="19"/>
  <c r="V46" i="19"/>
  <c r="AB6" i="19"/>
  <c r="AH26" i="19"/>
  <c r="AB46" i="19"/>
  <c r="J36" i="19"/>
  <c r="AB16" i="19"/>
  <c r="J16" i="19"/>
  <c r="J6" i="19"/>
  <c r="J26" i="19"/>
  <c r="V36" i="19"/>
  <c r="AB26" i="19"/>
  <c r="J46" i="19"/>
  <c r="AH46" i="19"/>
  <c r="AC25" i="1"/>
  <c r="K39" i="19"/>
  <c r="W9" i="19"/>
  <c r="AC9" i="19"/>
  <c r="Q39" i="19"/>
  <c r="AC19" i="19"/>
  <c r="Q29" i="19"/>
  <c r="W19" i="19"/>
  <c r="AI19" i="19"/>
  <c r="Q19" i="19"/>
  <c r="AC39" i="19"/>
  <c r="Q49" i="19"/>
  <c r="W39" i="19"/>
  <c r="AI39" i="19"/>
  <c r="AC29" i="19"/>
  <c r="Q9" i="19"/>
  <c r="AI49" i="19"/>
  <c r="K9" i="19"/>
  <c r="K49" i="19"/>
  <c r="W29" i="19"/>
  <c r="W49" i="19"/>
  <c r="AE29" i="1"/>
  <c r="K29" i="19"/>
  <c r="K19" i="19"/>
  <c r="AI29" i="19"/>
  <c r="AI9" i="19"/>
  <c r="AC49" i="19"/>
  <c r="P47" i="19"/>
  <c r="J37" i="19"/>
  <c r="V7" i="19"/>
  <c r="P17" i="19"/>
  <c r="AB17" i="19"/>
  <c r="P7" i="19"/>
  <c r="J47" i="19"/>
  <c r="J17" i="19"/>
  <c r="J27" i="19"/>
  <c r="V17" i="19"/>
  <c r="V37" i="19"/>
  <c r="AB37" i="19"/>
  <c r="J7" i="19"/>
  <c r="V27" i="19"/>
  <c r="V47" i="19"/>
  <c r="AH37" i="19"/>
  <c r="AH47" i="19"/>
  <c r="AH17" i="19"/>
  <c r="AB7" i="19"/>
  <c r="AB47" i="19"/>
  <c r="AH7" i="19"/>
  <c r="AE23" i="1"/>
  <c r="P27" i="19"/>
  <c r="P37" i="19"/>
  <c r="AH27" i="19"/>
  <c r="AB27" i="19"/>
  <c r="AB28" i="19"/>
  <c r="V38" i="19"/>
  <c r="AH28" i="19"/>
  <c r="AB38" i="19"/>
  <c r="V48" i="19"/>
  <c r="P8" i="19"/>
  <c r="AH8" i="19"/>
  <c r="J28" i="19"/>
  <c r="P48" i="19"/>
  <c r="AH18" i="19"/>
  <c r="P28" i="19"/>
  <c r="AB18" i="19"/>
  <c r="P18" i="19"/>
  <c r="AH38" i="19"/>
  <c r="AH48" i="19"/>
  <c r="AB8" i="19"/>
  <c r="J18" i="19"/>
  <c r="AB48" i="19"/>
  <c r="V18" i="19"/>
  <c r="P38" i="19"/>
  <c r="V8" i="19"/>
  <c r="V28" i="19"/>
  <c r="J8" i="19"/>
  <c r="J38" i="19"/>
  <c r="J48" i="19"/>
  <c r="X8" i="19"/>
  <c r="AD48" i="19"/>
  <c r="R28" i="19"/>
  <c r="X38" i="19"/>
  <c r="L48" i="19"/>
  <c r="AD28" i="19"/>
  <c r="R48" i="19"/>
  <c r="AD8" i="19"/>
  <c r="AJ28" i="19"/>
  <c r="L18" i="19"/>
  <c r="AJ8" i="19"/>
  <c r="AJ48" i="19"/>
  <c r="L28" i="19"/>
  <c r="L8" i="19"/>
  <c r="R18" i="19"/>
  <c r="X18" i="19"/>
  <c r="X28" i="19"/>
  <c r="AD18" i="19"/>
  <c r="AJ18" i="19"/>
  <c r="X48" i="19"/>
  <c r="R8" i="19"/>
  <c r="L38" i="19"/>
  <c r="AD38" i="19"/>
  <c r="AJ38" i="19"/>
  <c r="R38" i="19"/>
  <c r="X16" i="19"/>
  <c r="R36" i="19"/>
  <c r="AD36" i="19"/>
  <c r="AD16" i="19"/>
  <c r="AJ36" i="19"/>
  <c r="L26" i="19"/>
  <c r="AJ46" i="19"/>
  <c r="AJ26" i="19"/>
  <c r="X36" i="19"/>
  <c r="R46" i="19"/>
  <c r="AE22" i="1"/>
  <c r="R26" i="19"/>
  <c r="R16" i="19"/>
  <c r="AD46" i="19"/>
  <c r="L46" i="19"/>
  <c r="R6" i="19"/>
  <c r="AD26" i="19"/>
  <c r="X46" i="19"/>
  <c r="AD6" i="19"/>
  <c r="AJ16" i="19"/>
  <c r="X6" i="19"/>
  <c r="L6" i="19"/>
  <c r="AJ6" i="19"/>
  <c r="X26" i="19"/>
  <c r="L16" i="19"/>
  <c r="L36" i="19"/>
  <c r="W38" i="19"/>
  <c r="AI28" i="19"/>
  <c r="K38" i="19"/>
  <c r="W48" i="19"/>
  <c r="Q38" i="19"/>
  <c r="AI38" i="19"/>
  <c r="K18" i="19"/>
  <c r="K8" i="19"/>
  <c r="AC28" i="19"/>
  <c r="AI18" i="19"/>
  <c r="K28" i="19"/>
  <c r="Q18" i="19"/>
  <c r="AI48" i="19"/>
  <c r="AC18" i="19"/>
  <c r="AC8" i="19"/>
  <c r="W18" i="19"/>
  <c r="AI8" i="19"/>
  <c r="Q48" i="19"/>
  <c r="AC38" i="19"/>
  <c r="Q28" i="19"/>
  <c r="W28" i="19"/>
  <c r="AC48" i="19"/>
  <c r="W8" i="19"/>
  <c r="AE25" i="1"/>
  <c r="K48" i="19"/>
  <c r="Q8" i="19"/>
  <c r="AI36" i="19"/>
  <c r="W16" i="19"/>
  <c r="AI26" i="19"/>
  <c r="K36" i="19"/>
  <c r="AC6" i="19"/>
  <c r="Q26" i="19"/>
  <c r="AE21" i="1"/>
  <c r="K46" i="19"/>
  <c r="K26" i="19"/>
  <c r="K6" i="19"/>
  <c r="AC46" i="19"/>
  <c r="AI6" i="19"/>
  <c r="Q46" i="19"/>
  <c r="AC36" i="19"/>
  <c r="Q36" i="19"/>
  <c r="AC16" i="19"/>
  <c r="AI16" i="19"/>
  <c r="K16" i="19"/>
  <c r="W26" i="19"/>
  <c r="Q6" i="19"/>
  <c r="AI46" i="19"/>
  <c r="W46" i="19"/>
  <c r="Q16" i="19"/>
  <c r="W36" i="19"/>
  <c r="AC26" i="19"/>
  <c r="W6" i="19"/>
  <c r="M101" i="1"/>
  <c r="N101" i="1"/>
  <c r="M99" i="1"/>
  <c r="N99" i="1"/>
  <c r="M100" i="1"/>
  <c r="N100" i="1"/>
  <c r="P100" i="1"/>
  <c r="O100" i="1"/>
  <c r="AD100" i="1"/>
  <c r="AC100" i="1"/>
  <c r="AE100" i="1"/>
  <c r="O99" i="1"/>
  <c r="AD99" i="1"/>
  <c r="AC99" i="1"/>
  <c r="AE99" i="1"/>
  <c r="P99" i="1"/>
  <c r="O101" i="1"/>
  <c r="AD101" i="1"/>
  <c r="AC101" i="1"/>
  <c r="AE101" i="1"/>
  <c r="P101" i="1"/>
  <c r="M68" i="1"/>
  <c r="N68" i="1"/>
  <c r="P68" i="1"/>
  <c r="O68" i="1"/>
  <c r="AD68" i="1"/>
  <c r="AC68" i="1"/>
  <c r="AE6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CALIDAD PLANEACION</author>
    <author>LUISA FERNANA</author>
  </authors>
  <commentList>
    <comment ref="G20" authorId="0" shapeId="0" xr:uid="{00000000-0006-0000-0100-000001000000}">
      <text>
        <r>
          <rPr>
            <b/>
            <sz val="9"/>
            <color indexed="81"/>
            <rFont val="Tahoma"/>
            <family val="2"/>
          </rPr>
          <t xml:space="preserve">RIESGO CORRUPCION </t>
        </r>
      </text>
    </comment>
    <comment ref="G23" authorId="0" shapeId="0" xr:uid="{00000000-0006-0000-0100-000002000000}">
      <text>
        <r>
          <rPr>
            <sz val="9"/>
            <color indexed="81"/>
            <rFont val="Tahoma"/>
            <family val="2"/>
          </rPr>
          <t xml:space="preserve">CATEGORIA DEL RIESGO  REVISAR Y ORGANIZAR   SEGÚN LA  GUIA
</t>
        </r>
      </text>
    </comment>
    <comment ref="G27" authorId="0" shapeId="0" xr:uid="{00000000-0006-0000-0100-000003000000}">
      <text>
        <r>
          <rPr>
            <sz val="9"/>
            <color indexed="81"/>
            <rFont val="Tahoma"/>
            <family val="2"/>
          </rPr>
          <t xml:space="preserve">DE GESTIÓN 
</t>
        </r>
      </text>
    </comment>
    <comment ref="G30" authorId="0" shapeId="0" xr:uid="{00000000-0006-0000-0100-000004000000}">
      <text>
        <r>
          <rPr>
            <sz val="9"/>
            <color indexed="81"/>
            <rFont val="Tahoma"/>
            <family val="2"/>
          </rPr>
          <t xml:space="preserve">RIESGO CORRUPCIÓN 
</t>
        </r>
      </text>
    </comment>
    <comment ref="G52" authorId="0" shapeId="0" xr:uid="{00000000-0006-0000-0100-000005000000}">
      <text>
        <r>
          <rPr>
            <b/>
            <sz val="9"/>
            <color indexed="81"/>
            <rFont val="Tahoma"/>
            <family val="2"/>
          </rPr>
          <t>RIESGO CORRUPCIÓN</t>
        </r>
      </text>
    </comment>
    <comment ref="R64" authorId="1" shapeId="0" xr:uid="{00000000-0006-0000-0100-000006000000}">
      <text>
        <r>
          <rPr>
            <b/>
            <sz val="9"/>
            <color indexed="81"/>
            <rFont val="Tahoma"/>
            <family val="2"/>
          </rPr>
          <t>LUISA FERNANA:</t>
        </r>
        <r>
          <rPr>
            <sz val="9"/>
            <color indexed="81"/>
            <rFont val="Tahoma"/>
            <family val="2"/>
          </rPr>
          <t xml:space="preserve">
SE RECOMIENDA ELABORAR EL PLAN DE ACCION PARA DEJAR EVIDENCIA DEL SEGUIMIENTO REALIZADO AL RIESGO DEL CONTROL ESTIPULADO 
</t>
        </r>
      </text>
    </comment>
  </commentList>
</comments>
</file>

<file path=xl/sharedStrings.xml><?xml version="1.0" encoding="utf-8"?>
<sst xmlns="http://schemas.openxmlformats.org/spreadsheetml/2006/main" count="1440" uniqueCount="593">
  <si>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</si>
  <si>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</si>
  <si>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</si>
  <si>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</si>
  <si>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</si>
  <si>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</si>
  <si>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</si>
  <si>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</si>
  <si>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</si>
  <si>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</si>
  <si>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</si>
  <si>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</si>
  <si>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</si>
  <si>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</si>
  <si>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</si>
  <si>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</si>
  <si>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</si>
  <si>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</si>
  <si>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</si>
  <si>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</si>
  <si>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</si>
  <si>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</si>
  <si>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</si>
  <si>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</si>
  <si>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</si>
  <si>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</si>
  <si>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</si>
  <si>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</si>
  <si>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</si>
  <si>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</si>
  <si>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</si>
  <si>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</si>
  <si>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</si>
  <si>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</si>
  <si>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</si>
  <si>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</si>
  <si>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</si>
  <si>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</si>
  <si>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</si>
  <si>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</si>
  <si>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</si>
  <si>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</si>
  <si>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</si>
  <si>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</si>
  <si>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</si>
  <si>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</si>
  <si>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</si>
  <si>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</si>
  <si>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</si>
  <si>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</si>
  <si>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</si>
  <si>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</si>
  <si>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</si>
  <si>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</si>
  <si>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</si>
  <si>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</si>
  <si>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</si>
  <si>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</si>
  <si>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</si>
  <si>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</si>
  <si>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</si>
  <si>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</si>
  <si>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</si>
  <si>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</si>
  <si>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</si>
  <si>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</si>
  <si>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</si>
  <si>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</si>
  <si>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</si>
  <si>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</si>
  <si>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</si>
  <si>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</si>
  <si>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</si>
  <si>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</si>
  <si>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</si>
  <si>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</si>
  <si>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</si>
  <si>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</si>
  <si>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</si>
  <si>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</si>
  <si>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</si>
  <si>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</si>
  <si>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</si>
  <si>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</si>
  <si>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</si>
  <si>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</si>
  <si>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</si>
  <si>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</si>
  <si>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</si>
  <si>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</si>
  <si>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</si>
  <si>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</si>
  <si>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</si>
  <si>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</si>
  <si>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</si>
  <si>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</si>
  <si>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</si>
  <si>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</si>
  <si>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</si>
  <si>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</si>
  <si>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</si>
  <si>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</si>
  <si>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</si>
  <si>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</si>
  <si>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</si>
  <si>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</si>
  <si>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</si>
  <si>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</si>
  <si>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</si>
  <si>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</si>
  <si>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</si>
  <si>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</si>
  <si>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</si>
  <si>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</si>
  <si>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</si>
  <si>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</si>
  <si>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</si>
  <si>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</si>
  <si>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</si>
  <si>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</si>
  <si>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</si>
  <si>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</si>
  <si>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</si>
  <si>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</si>
  <si>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</si>
  <si>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</si>
  <si>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</si>
  <si>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</si>
  <si>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</si>
  <si>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</si>
  <si>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</si>
  <si>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</si>
  <si>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</si>
  <si>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</si>
  <si>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</si>
  <si>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</si>
  <si>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</si>
  <si>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</si>
  <si>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</si>
  <si>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</si>
  <si>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</si>
  <si>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</si>
  <si>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</si>
  <si>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</si>
  <si>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</si>
  <si>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</si>
  <si>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</si>
  <si>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</si>
  <si>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</si>
  <si>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</si>
  <si>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</si>
  <si>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</si>
  <si>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</si>
  <si>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</si>
  <si>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</si>
  <si>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</si>
  <si>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</si>
  <si>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</si>
  <si>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</si>
  <si>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</si>
  <si>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</si>
  <si>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</si>
  <si>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</si>
  <si>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</si>
  <si>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</si>
  <si>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</si>
  <si>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</si>
  <si>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</si>
  <si>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</si>
  <si>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</si>
  <si>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</si>
  <si>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</si>
  <si>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</si>
  <si>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</si>
  <si>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</si>
  <si>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</si>
  <si>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</si>
  <si>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</si>
  <si>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</si>
  <si>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</si>
  <si>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</si>
  <si>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</si>
  <si>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</si>
  <si>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</si>
  <si>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</si>
  <si>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</si>
  <si>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</si>
  <si>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</si>
  <si>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</si>
  <si>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</si>
  <si>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</si>
  <si>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</si>
  <si>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</si>
  <si>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</si>
  <si>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</si>
  <si>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</si>
  <si>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</si>
  <si>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</si>
  <si>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</si>
  <si>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</si>
  <si>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</si>
  <si>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</si>
  <si>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</si>
  <si>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</si>
  <si>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</si>
  <si>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</si>
  <si>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</si>
  <si>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</si>
  <si>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</si>
  <si>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FALTA DE LEGALIZACIÓN DEL CONTRATO SEGÚN LA MODALIDAD DE CONTRATACIÓN Y CONFORME A LAS DISPOSICIONES LEGALES</t>
  </si>
  <si>
    <t>DESCONOCIMIENTO DE LA NORMA</t>
  </si>
  <si>
    <t>CONTRATAR PERSONAL CON LA FALTA DE ALGÚN DOCUMENTO SOLEMNE PARA ELLO</t>
  </si>
  <si>
    <t>FALTA DE FIRMAS EN EL EXPEDIENTE CONTRACTUAL</t>
  </si>
  <si>
    <t>CONOCER LAS NORMAS QUE REGULAN LA CONTRATACIÓN COMO LA LEY 80 DE 1993 "Por la cual se expide el Estatuto General de Contratación de la Administración Pública";  Y LA LEY 1150 DE 2007 "Por medio de la cual se introducen medidas para la eficiencia y la transparencia en la Ley 80 de 1993 y se dictan otras disposiciones generales sobre la contratación con Recursos Públicos"</t>
  </si>
  <si>
    <t>VERIFICAR MINUCIOSAMENTE LAS FECHAS DE LOS DOCUMENTOS NECESARIOS PARA REALIZAR EL CONTRATO</t>
  </si>
  <si>
    <t>REVISAR CONSTANTEMENTE TODOS LOS DOCUMENTOS PARA COMPROBAR QUE ESTEN DEBIDAMENTE FIRMADOS</t>
  </si>
  <si>
    <t>ÁREA JURÍDICA</t>
  </si>
  <si>
    <t xml:space="preserve"> NO VERIFICAR LAS FECHAS DE LOS DOCUMENTOS</t>
  </si>
  <si>
    <t>VENCIMIENTO DE TÉRMINOS ESTABLECIDOS EN LA LEY PARA RESPUESTAS DE PETICIONES O SOLICITUDES DE INFORMACIÓN, CONTESTACIÓN DE DEMANDAS Y DEMÁS ACTUACIONES PROCESALES</t>
  </si>
  <si>
    <t>PRESCRIPCIÓN DE LA ACCIÓN FISCAL, SENTENCIAS DESFAVORABLES PARA LA ENTIDAD POR DEJAR PASAR LOS TÉRMINOS Y ACCIONES DISCIPLINARIAS</t>
  </si>
  <si>
    <t>CONOCER LAS NORMAS QUE REGULAN LOS TÉRMINOS PARA LA CONTESTACIÓN DE UN DERECHO DE PETICIÓN, LA LEY 1755 DE 2015 CONTEMPLA LA IMPOSICIÓN DE SANCIONES DISCIPLINARIAS PARA LOS FUNCIONARIOS QUE NO TRAMITEN LOS DERECHOS DE PETICIÓN; Y EL CÓDIGO GENERAL DEL PROCESO EN SU ARTÍCULO 97 CONTEMPLA QUE AL NO CONTESTAR UNA DEMANDA SE PRESUMIRÁN CIERTOS LOS HECHOS SUSCEPTIBLES DE CONFESIÓN</t>
  </si>
  <si>
    <t>PÉRDIDA DE DOCUMENTOS O EXPEDIENTES CONTRACTUALES</t>
  </si>
  <si>
    <t>ENTREPAPELARSE CON OTROS DOCUMENTOS</t>
  </si>
  <si>
    <t>EQUIVOCACIÓN EN EL ARCHIVO DE LAS CARPETAS CONTRACTUALES</t>
  </si>
  <si>
    <t>NO LLEVAR CONTROL DE LAS CARPETAS PRESTADAS A LOS CONTRATISTAS</t>
  </si>
  <si>
    <t xml:space="preserve">PÉRDIDA DE EXPEDIENTES O DOCUMENTOS DE LOS MISMOS </t>
  </si>
  <si>
    <t>HACER UN ADECUADO ENFASIS EN LA LEY 594 DE 2000 "Por medio de la cual se dicta la Ley General de Archivos y se dictan otras disposiciones"; POSTERIORMENTE LLEVAR UN APROPIADO INVENTARIO DE LAS CAJAS Y LAS CARPETAS QUE SE ENCUENTRAN DENTRO DEL MISMO</t>
  </si>
  <si>
    <t>LOS DOCUMENTOS QUE SE ENTREGUEN POR PARTE DE LAS ÁREAS CORRESPONDIENTES A LOS CONTRATISTAS ENCARGADOS DEL ARCHIVO DE LA ENTIDAD DEBERÁN SER REGISTRADOS DEBIDAMENTE POR ELLOS PARA LLEVAR UN CONTROL DE LOS DOCUMENTOS ENTREGADOS Y FINALMENTE ARCHIVADOS EN EL MENOR TIEMPO POSIBLE PARA EVITAR EL TRASPAPELEO DEL MISMO</t>
  </si>
  <si>
    <t>POR PARTE DE LOS CONTRATISTAS ENCARGADOS DEL ARCHIVO DE LA ENTIDAD SE DEBE TENER UN OPORTUNO INVENTARIO DE LOS EXPEDIENTES CONTRACTUALES PRESTADOS DONDE SE EVIDENCIE FECHA DE SOLICITUD, FECHA DE ENTREGA Y FECHA DE DEVOLUCIÓN DEL EXPEDIENTE PARA UN OPORTUNO SEGUIMIENTO DE LOS EXPEDIENTES</t>
  </si>
  <si>
    <t>INCUMPLIMIENTO EN LA PUBLICACIÓN DE LOS DOCUMENTOS REQUERIDOS EN LAS PLATAFORMAS SECOP I Y SIA OBSERVA</t>
  </si>
  <si>
    <t>REQUERIMIENTOS POR PARTE DE LOS ÓRGANOS DE CONTROL</t>
  </si>
  <si>
    <t>DESCONOCIMIENTO DE LA NORMA DE LOS TERMINOS PARA LA PUBLICACIÓN</t>
  </si>
  <si>
    <t>INCONVENIENTE EN LA TRAZABILIDAD DEL PLAN DE TRABAJO PARA LA PUBLICACIÓN</t>
  </si>
  <si>
    <t>CONOCER QUÉ DOCUMENTOS SE DEBEN PUBLICAR Y EN QUÉ TERMINOS PARA NO INCURRIR EN UNA PUBLICACIÓN EXTEMPORÁNEA</t>
  </si>
  <si>
    <t>REVISAR EL PLAN DE TRABAJO ESTIPULADO POR LA ENTIDAD PARA QUE MARCHE CONJUNTAMENTE Y SE PUEDAN PUBLICAR LOS DOCUMENTOS DEBIDAMENTE</t>
  </si>
  <si>
    <t>DESCONOCIMIENTO DE LOS TERMINOS DE VENCIMIENTO</t>
  </si>
  <si>
    <t>INDEBIDA ESCOGENCIA DEL PROCESO DE SELECCIÓN DE CONTRATISTAS</t>
  </si>
  <si>
    <t>DESCONOCIMIENTO DE LAS NORMAS DE CONTRATACIÓN</t>
  </si>
  <si>
    <t>01 DE JULIO DE 2021</t>
  </si>
  <si>
    <t>TRIMESTRAL</t>
  </si>
  <si>
    <t>CAPACITAR AL PERSONAL DEL ÁREA JURIDICA DE ACUERDO A LA NORMATIVIDAD LEGAL VIGENTE</t>
  </si>
  <si>
    <t>CAPACITAR AL PERSONAL DEL ÁREA JURIDICA PARA DETERMINAR LA IMPORTANCIA DE LA VERIFICACIÓN DE LAS FECHAS EN LOS DOCUMENTOS NECESARIOS PARA REALIZAR LA CONTRATACIÓN</t>
  </si>
  <si>
    <t>CAPACITAR AL PERSONAL DEL ÁREA JURIDICA PARA DETERMINAR LA IMPORTANCIA DE LA VERIFICACIÓN DE QUE EL EXPEDIENTE CONTRACTUAL SE ENCUENTRE CON TODAS LAS FIRMAS</t>
  </si>
  <si>
    <t>REALIZAR CAPACITACIÓN JUNTO CON EL ÁREA ADMINISTRATIVA Y LAS PERSONAS ENCARGADAS DEL ARCHIVO DE LA EMPRESA AMABLE E.I.C.E. PARA DETERMINAR LA IMPORTANCIA DEL DEBIDO ARCHIVO DE LOS EXPEDIENTES CONTRACTUALES</t>
  </si>
  <si>
    <t>REALIZAR CAPACITACIÓN JUNTO CON EL ÁREA ADMINISTRATIVA Y LAS PERSONAS ENCARGADAS DEL ARCHIVO DE LA EMPRESA AMABLE E.I.C.E. PARA DETERMINAR LA IMPORTANCIA DE ARCHIVAR TODOS LOS DOCUMENTOS A TIEMPO PARA EVITAR LA PERDIDA DE LOS MISMOS</t>
  </si>
  <si>
    <t>REALIZAR CAPACITACIÓN JUNTO CON EL ÁREA ADMINISTRATIVA Y LAS PERSONAS ENCARGADAS DEL ARCHIVO DE LA EMPRESA AMABLE E.I.C.E. PARA DETERMINAR LA IMPORTANCIA DEL CONTROL DE LOS EXPEDIENTES CONTRACTUALES PRESTADOS A CONTRATISTAS</t>
  </si>
  <si>
    <t>REALIZAR CAPACITACIÓN JUNTO CON EL ÁREA ADMINISTRATIVA Y LA PERSONA ENCARGADA DE LAS PUBLICACIONES CONTRACTUALES PARA DETERMINAR LA IMPORTANCIA DE SUBIR LOS DOCUMENTOS A TIEMPO A LAS PLATAFORMAS DEL SECOP I Y SIA OBSERVA</t>
  </si>
  <si>
    <t>Código:</t>
  </si>
  <si>
    <t>F-AM-PLA-SETP-01</t>
  </si>
  <si>
    <t xml:space="preserve">Proceso : </t>
  </si>
  <si>
    <t>Juridico</t>
  </si>
  <si>
    <t>Versión:</t>
  </si>
  <si>
    <t xml:space="preserve">Fecha de última actualización : </t>
  </si>
  <si>
    <t>Fecha:</t>
  </si>
  <si>
    <t>15/17/2021</t>
  </si>
  <si>
    <r>
      <t xml:space="preserve">Elaborado por: </t>
    </r>
    <r>
      <rPr>
        <sz val="14"/>
        <rFont val="Arial"/>
        <family val="2"/>
      </rPr>
      <t xml:space="preserve">Natalia Lopez Cardona  - Contratista
Revisado por: Johan Mauricio Castañeda Morales - Contratista                           </t>
    </r>
  </si>
  <si>
    <t xml:space="preserve">Realizar la matriz de riesgo del proceso juridico </t>
  </si>
  <si>
    <t xml:space="preserve">Identificar los riesgos que se puedan presentar en el area juridica </t>
  </si>
  <si>
    <t>VERIFICACION DE LA DISPONIBILIDAD DE LA PLATAFORMA, AL MOMENTO DE REALIZAR EL CARGUE DE LA INFORMACION</t>
  </si>
  <si>
    <t xml:space="preserve">Prohabilidad </t>
  </si>
  <si>
    <t>media</t>
  </si>
  <si>
    <t>mayor</t>
  </si>
  <si>
    <t>alto</t>
  </si>
  <si>
    <t xml:space="preserve">INDISPONIBILIDAD DE LA PLATAFOEMA </t>
  </si>
  <si>
    <t>DEJAR CONSTANCIA DE LA NDISPONIBILIDAD DE LA PLATAFORMA DEL ESPEDIENTE PRECONTRACTUAL</t>
  </si>
  <si>
    <t xml:space="preserve">falencias en la información financiera </t>
  </si>
  <si>
    <t>información errada en la solicitud de disponibilidad o registro presupuestal</t>
  </si>
  <si>
    <t xml:space="preserve">Expedición fuera del tiempo estipulado con información errónea del certificado de Disponibilidad Presupuestal y Registro Presupuestal
</t>
  </si>
  <si>
    <t xml:space="preserve">1 dia </t>
  </si>
  <si>
    <t>Para la expedicion del CDP se requiere la hoja de ruta del proceso de contratacion diligeciada.</t>
  </si>
  <si>
    <t>Verificar que la hjoja de ruta se encuentre diligenciada antes de expedir el CDP</t>
  </si>
  <si>
    <t>Profesional de presupuesto</t>
  </si>
  <si>
    <t>30/06/2024
31/12/2024</t>
  </si>
  <si>
    <t>Para la expedición del RP se requiere el contrato firmado y expediente contractual</t>
  </si>
  <si>
    <t>Verificar contrato firmado y extraer informaci{on del expediente contractual para expedir el RP</t>
  </si>
  <si>
    <t xml:space="preserve">presentacion de informe fuera del tiempo estipulado </t>
  </si>
  <si>
    <t xml:space="preserve">Desconocer los tiempos de presentación de los informes </t>
  </si>
  <si>
    <t xml:space="preserve">Presentación extemporánea de informes reportados a los diferentes entes de control </t>
  </si>
  <si>
    <t xml:space="preserve">mensual </t>
  </si>
  <si>
    <t>El área administrativa debe contar con un cronograma de fechas de presentación de informes</t>
  </si>
  <si>
    <t>Al inicio de la vigencia debe elaborarse el cronograma de informes de Ley y entregarlo a todos los profesionales del area financiera</t>
  </si>
  <si>
    <t>Personal de apoyo area administrativa y financiera</t>
  </si>
  <si>
    <t>Hacer seguimiento al cumplimiento del cronograma</t>
  </si>
  <si>
    <t>Realizar seguimiento trimestral al cronograma</t>
  </si>
  <si>
    <t>Lider proceso administrativo y financiero</t>
  </si>
  <si>
    <t xml:space="preserve">mala parametrizacion </t>
  </si>
  <si>
    <t xml:space="preserve">error en la parametrización del software  </t>
  </si>
  <si>
    <t>Inconsistencias en la información financiera generada por el programa publifinanzas</t>
  </si>
  <si>
    <t xml:space="preserve">al incio de la vigencia revisar la parametrizacion antes de inciar operaciones, así  como aplicar las modificaciones que generen relacion entre los rubros de presupuesto y contabilidad, las cuales se reportaran por correo electronico o documento fisico </t>
  </si>
  <si>
    <t xml:space="preserve">Una vez aperturada la vigencia  en el software, revisar y ajustar la parametrización y realziar las parametrizaciones necesarias que se reporten durante la vigencia. </t>
  </si>
  <si>
    <t>Profesional contable y presupuesto</t>
  </si>
  <si>
    <t xml:space="preserve">hacer conciliaciones  previas a los informes trimestrales  </t>
  </si>
  <si>
    <t>Terminado el trimestre, reaizar conciiliaciones de las areas de tesoreria, contabilidad y presupuesto</t>
  </si>
  <si>
    <t xml:space="preserve">personal de apoyo area contable, presupuestal y tesorería </t>
  </si>
  <si>
    <t xml:space="preserve">falencias en la planeación financiera </t>
  </si>
  <si>
    <t xml:space="preserve">demoras en el cierre financiero al culminar la viegencia fiscal </t>
  </si>
  <si>
    <t>inconsisencia en  la apropiación de la  disponibilidad inicial por no coherencia con el cierre fiscal</t>
  </si>
  <si>
    <t>anual</t>
  </si>
  <si>
    <t>El area admnistrativa y financiera (contabilidad , presupuesto, tesoreria) deben aplicar los procedimentos establecidos para cierre.</t>
  </si>
  <si>
    <t>Apilcar el procedimiento de cierre de la vigencia</t>
  </si>
  <si>
    <t>En el primer trimestre de cada vigencia fiscal, el area de presupuesto revisara lo apropiado para la vigencia con respecto al cierre de la vigencia anterior y llevar a junta directiva las modificaiones a que haya lugar.</t>
  </si>
  <si>
    <t>Realizar revisión de valores apropiados en la vigencia y cruzarlos con el cierre de la vigencia anterior</t>
  </si>
  <si>
    <t>profesional area de presupuesto</t>
  </si>
  <si>
    <t xml:space="preserve">ausencia de seguimiento a la plataforma tecnológica (ventanilla) de los profesionales encargados </t>
  </si>
  <si>
    <t>falta de control en el ingreso de los PQRSD</t>
  </si>
  <si>
    <t xml:space="preserve">No atender o atender de forma inoportuna o ineficiente las PQRSD interpuestas en la empresa y correspondientes al proceso </t>
  </si>
  <si>
    <t>diaria</t>
  </si>
  <si>
    <t>el Area administrativa (recepción) se encarga de trasladar los  PQR al  profesional encargado de responder, verificando que este se culmine correctamente dentro del tiempo establecido</t>
  </si>
  <si>
    <t>Ingresar y asignar desde la ventanilla todas las PQRS a traves del aplicativo,</t>
  </si>
  <si>
    <t>Apoyo en la recepcón</t>
  </si>
  <si>
    <t xml:space="preserve">en la recepción (área administrativa) un control sistematizado de salida </t>
  </si>
  <si>
    <t>Llevar control sistematizado de respuestas a las PQRS</t>
  </si>
  <si>
    <t xml:space="preserve">Deficiencia en el seguimiento y control al inventario de bienes institucionales </t>
  </si>
  <si>
    <t>falta de planeación en el control</t>
  </si>
  <si>
    <t>Pérdida o uso  indebido manipulación de los bienes institucional</t>
  </si>
  <si>
    <t xml:space="preserve">semestral </t>
  </si>
  <si>
    <t>lider administrativo se encargara de realizar una actualizacion del inventario, semestral</t>
  </si>
  <si>
    <t xml:space="preserve">Realizar inventario de bienes muebles de la empresa  y dejar evidencia mediante un formato y acta
</t>
  </si>
  <si>
    <t>Lider administrativa y financiera</t>
  </si>
  <si>
    <t>Hacer entrega en calidad de prestamo a los contratistas de apoyo.</t>
  </si>
  <si>
    <t>Hace entrega de bienes a traves de formato de calidad</t>
  </si>
  <si>
    <t>Expedir paz y salvo a la terminación de cada contrato.</t>
  </si>
  <si>
    <t>registro</t>
  </si>
  <si>
    <t>Para el pago del ultimo informe de cada contrattista expedir el paz y salvo una vez revisado el inventario</t>
  </si>
  <si>
    <t xml:space="preserve">la tardanza del envío de la documentación para ser publicados </t>
  </si>
  <si>
    <t xml:space="preserve">falta de comunicación entre areas </t>
  </si>
  <si>
    <t xml:space="preserve">Documentacion de publicación en las plataformas de SIA y SECOP, de manera extemporáneas  </t>
  </si>
  <si>
    <t xml:space="preserve">diaria </t>
  </si>
  <si>
    <t xml:space="preserve">seguimiento por medio de libro con fechas de creacion de documentos por parte del area juridica quien hace entrega al area de publicacion, esto dentro del tiempo estipulado  </t>
  </si>
  <si>
    <t xml:space="preserve">falta de verificacion de los requisitos </t>
  </si>
  <si>
    <t>no cumplir con lo requerido en el formato de requisitos para pagos de cada tipo</t>
  </si>
  <si>
    <t>Generar ordenes de pago sin el cumplimiento de requisitos para el pago</t>
  </si>
  <si>
    <t>el profesional encargado de administrativa y financiera realizara primer filtro con la lista de chequeo de los documentos, que hacen parte de la cuenta y se realizara un segundo control por parte del contador previo a la emisión de la orde de pago</t>
  </si>
  <si>
    <t>Revisión de documentos que debe contener cada contrato, verificacion de documentos al momento de revisar la cuenta por parte de la lider administrativa y financiera y revisión de completitud de documentos de la cuenta por parte del contador al realziar la OP</t>
  </si>
  <si>
    <t>Lider administrativa y financiera 
y contador</t>
  </si>
  <si>
    <t>Falta de conocimiento del personal sobre el proceso para la entrega de la información oficial</t>
  </si>
  <si>
    <t>Falta de verificación con la fuente oficial de la entidad</t>
  </si>
  <si>
    <t>Publicación de información no verídica, parcialmente incorrecta o falsa a través de los medios de comunicación con los que cuenta la empresa</t>
  </si>
  <si>
    <t>El lider del área  será el encargado de consolidar con cada área y gerencia la información oficial y verídica de los procesos del SETP, con el fin de garantizar una correcta información a publicar a través de los canales oficiales de la entidad y a medios de comunicación, este proceso se realzará cada vez que se defina la publicación de cualquier producto (Boletín de prensa, video de avance, video informativo, comunicado, entrevista, entre otros)</t>
  </si>
  <si>
    <t>Verificar que la información consolidada corresponda a  la realidad de la entidad, con los líderes de área o gerencia del SETP, garantizando la validación con la fuente oficial</t>
  </si>
  <si>
    <t>Lider del área o persona designada por este cuando sea el caso</t>
  </si>
  <si>
    <t>Trimestral</t>
  </si>
  <si>
    <t>Falta de verificación de las campañas antes de la publicación</t>
  </si>
  <si>
    <t>Falta de planeación por parte del equipo de comunicaciones</t>
  </si>
  <si>
    <t>Realizar campañas de comunicación ineficientes para llegar a la población objetivo</t>
  </si>
  <si>
    <t xml:space="preserve">El líder del área definirá con su equipo de trabajo las campañas a desarrollar durante el año, así como el aporte de cada uno para la ejecución de cada una de ella. Para ello el líder y/o persona designada desarrollara los textos, piezas y demás elementos definidos para promover la campaña, estas serán difundidas a través de los diferentes medios de difusión de la entidad. </t>
  </si>
  <si>
    <t>El líder del área realizará reuniones períodicas con su equipo de trabajo para definir las campañas acordes al avance del SETP y sus objetivos, con el fin de desarrollar las estrategias acordes para la ejecución de las campañas definidas, cada integrante deberá asumir su rol durante el desarrollo de este proceso garantizando el éxito del trabajo</t>
  </si>
  <si>
    <t>Falta de planeación del equipo de comunicaciones para verificar la información a publicar y la totalidad de la misma</t>
  </si>
  <si>
    <t>Recibir la información por parte de las áreas de forma parcial o sin confirmar</t>
  </si>
  <si>
    <t>no publicar o publicar parcialmente la información que debe contener la página web de la entidad</t>
  </si>
  <si>
    <t>El líder del área y/o la persona encargada de administrar la página web de la entidad, recibe de forma oficial la información de cada área a través de correo electrónico, el cual debe contener: Documento adjunto del proceso a publicar, así como la ubicación dentro de la página web e información adicional que sea requerida, una vez se realiza la publicación en la página, la persona encargada, a vuelta de correo enviará pantallazo y enlace de la publicación como evidencia, quedando atento a observaciones de dicha publicación</t>
  </si>
  <si>
    <t>Revisión periodica de la página web de la entidad , verificando que  el contenido en la página este completo, en caso de que falte información solicitarla y actualizarla</t>
  </si>
  <si>
    <t>Falta de responsabilid y compromiso</t>
  </si>
  <si>
    <t>Falta de ética del lider y equipo de comunicaciónes</t>
  </si>
  <si>
    <t>plagio en la información utilizada en las comunicaciones</t>
  </si>
  <si>
    <t>El líder del área deberá verificar y validar toda información del proceso SETP que se genera para difusión. Verificando que no se genere plagio de otros SETP del país. En caso de que se identifique que la información no corresponda, deberá tomar medidas correctivas antes de la publicación de la información</t>
  </si>
  <si>
    <t>El lider de comunicaciones deberá verificar que la información sea veridica y corresponda a la realidad de la entidad, que no corresponda a otro SETP</t>
  </si>
  <si>
    <t>Falta de capacitación y  conocimiento de la forma de expresión de la entidad</t>
  </si>
  <si>
    <t>Falta de manejo de las situaciones por parte del área de comunicaciones frente a las inquietudes o peticiones de la comunidad</t>
  </si>
  <si>
    <t>Utilización de lenguaje inapropiado en las comunicaciones</t>
  </si>
  <si>
    <t>El líder del área o la persona encargada de la redacción de textos, deberá verificar que el lenguaje utilizado sea el adecuado, que no afecte la imagen de la entidad o el gerente, así mismo se realizarán revisiones previas ante respuesta a críticas o denuncias ciudadanas, evitando expresiones inadecuadas</t>
  </si>
  <si>
    <t xml:space="preserve">El líder del área revisará los roles de cada miembro del equipo de trabajo, identificando la persona encargada de realizar los textos tanto para las publicaciones o respuestas a la comunidad en redes sociales y otros medios de la entidad, trabajando la forma de expresión de la entidad, garantizando respeto y respuestas acordes, sin faltar a la buena comunicación y relación de la entidad con la ciudadania </t>
  </si>
  <si>
    <t>Falta de atención a los canales de comunicación de la entidad</t>
  </si>
  <si>
    <t xml:space="preserve">Falta  de definición de la persona que atienda los canales y dé las respuestas a tiempo </t>
  </si>
  <si>
    <t xml:space="preserve">No brindar una respuesta o hacerlo extemporáneamente, a la información requerida por las personas externas, entes de control, solicitadas por los canales de información de la entidad, página web, redes sociales, y mecanismos legales  </t>
  </si>
  <si>
    <t>EL líder del área y/o la persona encargada de adminstrar la página web y las redes sociales de la entidad, revisarán a diario cada uno de los canales de atención, revisando solicitudes de la comunidad en general y entes de control, dando respuesta oportuna, la información emitida deberá ser validada por el líder de áreea de acuerdo a información suministrada por cada área y gerencia de la entidad</t>
  </si>
  <si>
    <t xml:space="preserve">Falta de atención a las situaciones que suceden alrededor de la entidad que deban ser atendidas </t>
  </si>
  <si>
    <t>Falta de información y comunicación con gerencia y áreas de la entidad para emitir información oportuna</t>
  </si>
  <si>
    <t>No emitir comunicados ante eventos o situaciones que involucren la entidad</t>
  </si>
  <si>
    <t>EL líder del área deberá estar al tanto de todas las situaciones que se presenten en desarrollo del SETP, y en comunicación permanente con la gerencia y l+ideres de las demás áreas, con el fin de identificar en que casos se debe realizar un comunicado oo informe especial, mitigando comentario o acciones negativas hacia la entidad.</t>
  </si>
  <si>
    <t>El líder de área asistirá a todos los comités de gerencia y reuniones de área donde se traten temas relevantes en desarrollo del SETP, evaluando la información y previendo situaciones que puedan ameritar comunicados o acciones especiales</t>
  </si>
  <si>
    <t>Rotación del personal profesional encargado de elaborar el PMA.</t>
  </si>
  <si>
    <t xml:space="preserve">Falta de experiencia y/o conocimiento del personal encargado de su elaboración.   </t>
  </si>
  <si>
    <t>Elaboración inadecuada del Plan de Manejo Ambiental - PMA correspondiente.</t>
  </si>
  <si>
    <t>Obras activas</t>
  </si>
  <si>
    <t>Contar con un equipo interdisciplinaraio para la elaboración de todos sus componentes. Documentación de procedimiento para la elaboración del PMA.</t>
  </si>
  <si>
    <t>Supervisión del cumplimiento de las obligaciones de la interventoría.</t>
  </si>
  <si>
    <t>Revisión inadecuada o no revision de la afiliación y pago de la seguridad social de los trabajadores de obra</t>
  </si>
  <si>
    <t>Errores humanos voluntarios o involuntarios en el pago y revisión de seguridad social del personal invlucrado en la ejecución de la obra.</t>
  </si>
  <si>
    <t>Sanciones por entes de control relacionado con los pagos de seguridad social.</t>
  </si>
  <si>
    <t>Revisión periódica realizada por profesional en área de SST</t>
  </si>
  <si>
    <t>Profesional SST 
Ente Gestor</t>
  </si>
  <si>
    <t>Falta de trámite de aprovechamiento forestal ante entidades competentes.</t>
  </si>
  <si>
    <t xml:space="preserve">Desconocimiento de las competencias de la autoridad ambiental y Municipio de Armenia frente a las intervencines forestales. </t>
  </si>
  <si>
    <t>Retrasos en la obra por falta de permiso de aprovechamiento forestal.</t>
  </si>
  <si>
    <t>Fase contractual</t>
  </si>
  <si>
    <t xml:space="preserve">Consultar formalmente con la Autoridad Ambiental y Planeacion Municipal sobre la necesidad de tramitar permiso conforme si especies son: forestales o de libre manejo por ser frutales u ornamentales.  </t>
  </si>
  <si>
    <t>Atender de forma inoportuna o ineficiente las PQRSD interpuestas en la empresa.</t>
  </si>
  <si>
    <t xml:space="preserve">Entrega inoportuna de informacion desde que ingresa la PQRS hasta entrega de la respuesta oportuna  </t>
  </si>
  <si>
    <t>No atender o atender de forma inoportuna o ineficiente las PQRSD interpuestas en la empresa y correspondientes al proceso</t>
  </si>
  <si>
    <t>obras activas.</t>
  </si>
  <si>
    <t>contar con equipo capacitado y activo en comunicaciones y seguimiento.</t>
  </si>
  <si>
    <t>Cambios en el escenario con proyecto definitivo por causas exogenas a la entidad e impacto alto en las finanzas de la Administración Municipal luego de la modelación del componente financiero</t>
  </si>
  <si>
    <t>Dificultad en la socialización de los resultados en las mesas con transportadores e incertidumbre en la definicón de las opciones en aspectos importantes del sistema</t>
  </si>
  <si>
    <t>Retraso en la selección del escenario operacional con proyecto definitivo de la estructuración del Sistema Estratégico de Transporte Público de Armenia</t>
  </si>
  <si>
    <t xml:space="preserve">Realización de mesas de trabajo con transportadores para socializar los avances. </t>
  </si>
  <si>
    <t>Realizar mesa con transportadores para socializar avances</t>
  </si>
  <si>
    <t xml:space="preserve"> Contratistas Area ETLF</t>
  </si>
  <si>
    <t>Avances en el informe operacional final requerido para la entrega de la estructuración técnica, legal y financiera</t>
  </si>
  <si>
    <t xml:space="preserve">Hacer segumiento al avance del producto final operacional. </t>
  </si>
  <si>
    <t xml:space="preserve">Realización de mesas con el componente social de Amable, donde se socialice la ETLF y lo que significa la adopción del SETP en Armenia. </t>
  </si>
  <si>
    <t>Realizar socialización tecnica de los insumos al equipo social de Amable.</t>
  </si>
  <si>
    <t>Diferentes alternativas en aspectos importantes para la implementación del SETP que impactan el modelo financiero.</t>
  </si>
  <si>
    <t>Dificultad en la socialización de los resultados con los operadores de transporte en algunos aspectos y falta de obtención de información completa y a tiempo para la definición de alternativas</t>
  </si>
  <si>
    <t>Retraso en la modelación financiera de la estructuración del Sistema Estratégico de Transporte Público de Armenia.</t>
  </si>
  <si>
    <t>Realización de mesas de trabajo con transportadores para socializar los avances</t>
  </si>
  <si>
    <t>Realizar mesa con transportadores para socializar avances.</t>
  </si>
  <si>
    <t>mesas de trabajo con lla administracion municipal que permitan general las estrategias de sostenibilidad del sistema</t>
  </si>
  <si>
    <t>Seguimiento de las obigaciones contractuales del profresional encargado de actualizar el modelo  financiero,</t>
  </si>
  <si>
    <t>Revisar anexo tecnico del contrato y hacer cronograma de entrega de obligaciones pendientes</t>
  </si>
  <si>
    <t>Definición de alternativas en cuanto a la estructura del operador, Sistema de gestión y control de flota y pataios y talleres.</t>
  </si>
  <si>
    <t>Avances en el informe financiero final requerido para la entrega de la estructuración técnica, legal y financiera</t>
  </si>
  <si>
    <t>Realizar reuniones donde se revisen los avances en el informe financiero que se debe entregar con la estructuración</t>
  </si>
  <si>
    <t xml:space="preserve">Dificultad en el analisis de la información obtenida para la definición de alternativas que impactan al sistema. </t>
  </si>
  <si>
    <t>Deficiencia y demora en la información recibida por parte de los operadores de transporte.</t>
  </si>
  <si>
    <t>Retraso en la entrega de documentos y estudios legales de la estructuración del Sistema Estratégico de Transporte Público de Armenia.</t>
  </si>
  <si>
    <t>Seguimiento a la documentación solicitada a los operadores de transporte.</t>
  </si>
  <si>
    <t xml:space="preserve">Hacer una chek list con la información solicitada, donde se evidencie tipo de documentación, fecha de solicitud, fecha de entrega y estado </t>
  </si>
  <si>
    <t xml:space="preserve">Seguimiento a la documentación solicitada a SETTA. </t>
  </si>
  <si>
    <t>seguimiento a la elaboracion de productos al componente legal de la ETLF</t>
  </si>
  <si>
    <t xml:space="preserve">Producción de documentos requeridos para la entrega de la estructuración técnica, legal y financiera. </t>
  </si>
  <si>
    <t>Realizar cronograma con la documentación que se debe entregar donde se evidencien las fechas y el responsable</t>
  </si>
  <si>
    <t>Seguimiento de avances del componente  institucional.</t>
  </si>
  <si>
    <t>Realizar reuniones donde se revisen los avances en el informe institucional que se debe entregar con la estructuración</t>
  </si>
  <si>
    <t>No recibir de manera oportuna la solicitud por parte de la persona encargada de canalizar las PQRSD y no prestar el tiempo suficiente en su entendimiento</t>
  </si>
  <si>
    <t>La persona encargada de recibir las PQRSD no conoce de manera profunda el proceso de cada área y se toma mucho tiempo en identificar el destino</t>
  </si>
  <si>
    <t xml:space="preserve">No atender o atender de forma inoportuna o ineficiente las PQRSD interpuestas en la empresa y correspondientes al proceso.
</t>
  </si>
  <si>
    <t>Seguimiento de la recepción de PQRSD por parte de la persona encargada</t>
  </si>
  <si>
    <t>Definir una persona que periodicamente pregunte si hay PQRSD para el área de la ETLF</t>
  </si>
  <si>
    <t>ETLF</t>
  </si>
  <si>
    <t>Segumiento del tiempo en ser canalizdo a la persona quien debe de dar la respuesta.</t>
  </si>
  <si>
    <t>Definir una persona que periodicamente revise los tiempos de canalización de los PQRSD</t>
  </si>
  <si>
    <t>Segumiento del tiempo de respuesta y entrega de la respuesta del PQRSD por parte de la persona designada</t>
  </si>
  <si>
    <t>Definir una persona que periodicamente revise si hay PQRDS pendientes por responder y verificar que no se pase la fecha limite</t>
  </si>
  <si>
    <t>Esta ligado a la entrega de la estructuración técnica, legal y financiera</t>
  </si>
  <si>
    <t>No otorgaminento de legibilidad para uso de los recursos destinados al proyecto de red semaforica por parte de la Umus.</t>
  </si>
  <si>
    <t xml:space="preserve">No ejecución del proyecto de red semaforica en la ciudad de Armenia. 
</t>
  </si>
  <si>
    <t xml:space="preserve">actualizacion tecnica del proyecto de semaforizacion </t>
  </si>
  <si>
    <t>Realizar reuniones donde se revisen los avances en el informe técnico que se debe entregar con la estructuración</t>
  </si>
  <si>
    <t>actualizacion de presupuesto para la implementacion del proyecto de semaforizacion</t>
  </si>
  <si>
    <t>elaboracion del proceso preconctractual y contractrual del proyecto de semaforizacion</t>
  </si>
  <si>
    <t>Realizar reuniones donde se revisen los avances en el informe del componente legal que se debe entregar con la estructuración</t>
  </si>
  <si>
    <t>Dificultades en la modelación financiera que permitira conocer la tarifa tecnica y por consiguiente la necesidad desde el fondo de estabilización</t>
  </si>
  <si>
    <t>Dificultad en la definición de alternativas que permitan consolidar el modelo financiero y retrazos en las respuestas por parte de algunos entes externos en la solicitud de información y reuniones</t>
  </si>
  <si>
    <t xml:space="preserve">Retraso en la conformación del fondo de estabilización y la propuesta en la estructuración de las fuentes de financiación </t>
  </si>
  <si>
    <t>Realizar seguimiento a las solicitudes de información</t>
  </si>
  <si>
    <t>Realizar segumiento a las solicitudes de reuniones</t>
  </si>
  <si>
    <t>Hacer una chek list con las reuniones pendientes, donde se evidencie tipo de reunión, fecha de solicitud, fecha de otorgamiento, estado y fecha probable de reunión.</t>
  </si>
  <si>
    <t xml:space="preserve">Revisar avance del documento que permita conocer las fuentes alternas de financiación </t>
  </si>
  <si>
    <t>Realizar reuniones donde se revisen los avances al documento con las fuentes alternas de financiación.</t>
  </si>
  <si>
    <t xml:space="preserve">JURIDICA Y CONTRACTUAL </t>
  </si>
  <si>
    <t xml:space="preserve">DOCUMENTAL Y ARCHIVO- FINANCIERA Y CONTABLE-ADMINISTRATIVA  </t>
  </si>
  <si>
    <t xml:space="preserve">COMUNICACIONES </t>
  </si>
  <si>
    <t>SOCIAL-AMBIENTAL-SST</t>
  </si>
  <si>
    <t xml:space="preserve">PLANEACION </t>
  </si>
  <si>
    <t>No Contar con manuales de procedimientos, No tener la caracterización de procesos, No contar con información oportuna y eficaz</t>
  </si>
  <si>
    <t>Falta de planeación para el apoyo a la Gerencia</t>
  </si>
  <si>
    <t xml:space="preserve">Participación en la toma de Decisiones </t>
  </si>
  <si>
    <t>* Contar con los manuales de procedimientos y actualizarlos cuando se requiera.
* Contar con la caracterización de los procesos y actualizarlso cuando se requiera.
* Tener la información relevante al proyecto de manera oportuna.</t>
  </si>
  <si>
    <t>No contar con personal profesional competente,
Colocar metas que no se puedan cumplir,
No contar con el presupuesto para el desarrollo del proyecto,
Presupuesto mal proyectado</t>
  </si>
  <si>
    <t>Cumplimiento de metas</t>
  </si>
  <si>
    <t>* Contar con personal idoneo y que no ocurran cambios frecuentes
* Programar metas que se puedan cumplir dentro de la vigencia
* Verificar que las metas que se programen cuenten con el presupuesto
* Verificar que dentro del desarrollo del presupuesto se contemple los proyectos a desarrollar</t>
  </si>
  <si>
    <t>No conocer el proyecto,
No contar con profesionales idoneos,
Contratista y Obras que no cumplan con requisitos,
Interventoria deficiente</t>
  </si>
  <si>
    <t xml:space="preserve">Seguimiento al proyecto
</t>
  </si>
  <si>
    <t>* Conocer el proyecto en general y toda la normatividad
* Tener para el desarrollo del proyecto profesionales que se identifiquen con el proyecto
* Conocer los procesos y requisitos para la * Adjudicación y desarrollo de obras
* Conocer los procesos y requisitos para la Adjudicación de la Interventoría de obras</t>
  </si>
  <si>
    <t xml:space="preserve">PROCESO </t>
  </si>
  <si>
    <r>
      <rPr>
        <sz val="11"/>
        <color theme="9" tint="-0.249977111117893"/>
        <rFont val="Arial"/>
        <family val="2"/>
      </rPr>
      <t xml:space="preserve">*Nota: </t>
    </r>
    <r>
      <rPr>
        <sz val="11"/>
        <color theme="1"/>
        <rFont val="Arial"/>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</si>
  <si>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Se realizó la revisión de la normatividad con el área jurídica y los profesionales encargados de la estructuraciòn precontractual, previa a la elaboraciòn de los procesos de contratación, de tal manera que se disminuyan los efectos correspondientes</t>
  </si>
  <si>
    <t xml:space="preserve">Se realizó la revisión de la totalidad de los documentos para verificar que no se estuvieran emitiendo documentos contractuales sin firmas de los responsables, de tal manera que se cuenta con la totalidad de las firmas. </t>
  </si>
  <si>
    <t xml:space="preserve">Se estableció como obligación contractual de los contratistas de prestación de servicios de aplicación de las normas de archivo documental, la cual se está realizando el seguimiento respectivo en cuanto a la supervisión para evitar los malos manejos respectivos. </t>
  </si>
  <si>
    <t>Se establecieron mecanismos de control para el préstamo de los documentos que hacen parte del archivo de gestión de la entidad</t>
  </si>
  <si>
    <t>Se realiza control a los términos de publicación, y se dejan constancias por la ausencia de publicación</t>
  </si>
  <si>
    <t>Se realiza seguimiento a las normas contractuales, se realizan conversatorios y reuniones por parte de los profesionales del área jurídica para evitar el desconocimiento de las normas contractuales</t>
  </si>
  <si>
    <t xml:space="preserve"> Profesionales del área. Líder del área</t>
  </si>
  <si>
    <t>terminado</t>
  </si>
  <si>
    <t xml:space="preserve">
Área Ambiental</t>
  </si>
  <si>
    <t xml:space="preserve"> El Area Ambiental entrega los permisos tramitados por la entidad competente en los temas relacionados  a las determinantes ambientales del medio natural, mediante un correo electronico  y sus anexos </t>
  </si>
  <si>
    <t>Revisar certificados de paz y salvo de los RCD del informe final del Proyecto Terminal de Ruta Simon Bolivar.
Para los nuevos proyectos de se revisan conceptos de presencia de determinantes ambientales del medio natural</t>
  </si>
  <si>
    <t xml:space="preserve">Revisar  los pagos de seguridad social consolidado   del informe final  del PROYECTO TR SIMÓN BOLIVAR  tanto de interventoria como del contratista se envió correo  con las observaciones.  </t>
  </si>
  <si>
    <t>Se anexa correo electronico proporcionado por el area SST sobre seguimiento a las  planillas de seguridad socia</t>
  </si>
  <si>
    <t xml:space="preserve">  Área Social </t>
  </si>
  <si>
    <t>se reviso y aprobó inforrme de cierre del proyecto  Terminal de Ruta Simon Bolivar, sin reporte de PQRS, adiconalmente no hay obras en ejecución por lo tanto no hay seguimiento pendiente.</t>
  </si>
  <si>
    <t>Para la vigencia del primer semestre del año 2024,  revisar y aprobar inforrme de cierre del proyecto  Terminal de Ruta Simon Bolivar.</t>
  </si>
  <si>
    <t>01 DE ENERO AL  30 ABRIL DE 2024</t>
  </si>
  <si>
    <t>Para la vigencia del primer cuatrimestre del año 2024,No hubo obras en ejecución por lo tanto no hay seguimiento.</t>
  </si>
  <si>
    <t>xxxx</t>
  </si>
  <si>
    <t>01 DE ENERO AL  30 DE ABRIL  DE 2024</t>
  </si>
  <si>
    <t>Identificación del riesgo</t>
  </si>
  <si>
    <t>Análisis del riesgo inherente</t>
  </si>
  <si>
    <t>Evaluación del riesgo - Valoración de los controles</t>
  </si>
  <si>
    <t>Evaluación del riesgo - Nivel del riesgo residual</t>
  </si>
  <si>
    <t xml:space="preserve">Formato Consolidado - Mapa De Riesgos </t>
  </si>
  <si>
    <t>PREDIAL</t>
  </si>
  <si>
    <t>Reputacional y económica</t>
  </si>
  <si>
    <t>Recibir o solicitar cualquier dádiva o beneficio a nombre propio o de un tercero para impulsar las actuaciones de adquisicion predial</t>
  </si>
  <si>
    <t>Ausencia de los valores eticos e institucionales</t>
  </si>
  <si>
    <t>Posibilidad de recibir o solicitar cualquier dádiva o beneficio a nombre propio o de terceros para la adquisicion predial o acuerdo para enajenacion voluntaria.</t>
  </si>
  <si>
    <t>generar un plan de tratamiento del riesgo enfocado a generar nuevos controles que prevengan una la materialización del riesgo</t>
  </si>
  <si>
    <t>Hacer verificacion del plan por medio de actas de seguimiento</t>
  </si>
  <si>
    <t xml:space="preserve">lider area predial </t>
  </si>
  <si>
    <t>NO APLICA PORQUE NO HAY OBRAS NI ADQUISICIONES PREDIALES</t>
  </si>
  <si>
    <t>Revisar y actualizar el código de ética institucional, determinando conductas que fomenten la aplicación de los valores institucionales</t>
  </si>
  <si>
    <t xml:space="preserve">verificar el codigo de etica de la institucion </t>
  </si>
  <si>
    <t xml:space="preserve">
3</t>
  </si>
  <si>
    <t xml:space="preserve">revisar el plan de  la Política de Integridad. </t>
  </si>
  <si>
    <t xml:space="preserve">verificacion de la politica de la entidad </t>
  </si>
  <si>
    <t>Alteración u omisiòn en la informaciìón asociada con la gestión de pagos de expropiacion administrativa  o enajenacion voluntaria</t>
  </si>
  <si>
    <t xml:space="preserve">Insuficientes controles o falta de claridad en los procedimientos de adquisicion predial </t>
  </si>
  <si>
    <t>Posibilidad realizar pagos de adquisiciones prediales  no requeridos o al beneficiario que no corresponde, en beneficio propio o de un tercero, debido a la ausencia en la aplicaciòn de los valores institucionales y/o  controles inadecuados.</t>
  </si>
  <si>
    <t>El riesgo afecta la imagen del  área predial.</t>
  </si>
  <si>
    <t>Revisar y actualizar los procedimientos de pagos en la gestiòn predial con el area financiera de la entidad.</t>
  </si>
  <si>
    <t>verificacion del procedimiento de los pagos de adquisicion predial con area financiera</t>
  </si>
  <si>
    <t>lider area predial y financiera</t>
  </si>
  <si>
    <t xml:space="preserve">TECNICA -OPERACIONES </t>
  </si>
  <si>
    <t>Falta de control y trazabilidad al manejo de la informacion de la entidad</t>
  </si>
  <si>
    <t>Omisión de suscripción del compromiso de confidencialidad</t>
  </si>
  <si>
    <t>registro y control de la informacion producida en la entidad</t>
  </si>
  <si>
    <t>Articular los procesos de archivo, con el area correspondiente.</t>
  </si>
  <si>
    <t>lider del area tecnica</t>
  </si>
  <si>
    <t>01 de julio de 2021</t>
  </si>
  <si>
    <t>falta de control a la emision y recepcion de documentos</t>
  </si>
  <si>
    <t>ausencia de tablas de retencion actualizadas</t>
  </si>
  <si>
    <t>PERDIDA O EXTRAVIO DE DOCUMENTOS EN LA ENTIDAD</t>
  </si>
  <si>
    <t>correcta identificacion de documentos</t>
  </si>
  <si>
    <t>control al ingreso y salida oportuna de peticiones y sus respuestas</t>
  </si>
  <si>
    <t>ingreso a la ventanilla unica de todos los documentos - control a la ventanilla unica</t>
  </si>
  <si>
    <t>habilitación de ofertas que no cumplen condiciones habilitantes</t>
  </si>
  <si>
    <t>incumplilmiento de las condiciones legales de selección</t>
  </si>
  <si>
    <t>CALIFICACION INDEBIDA DE OFERTAS EN PROCESOS DE SELECCIÓN CONTRACTUAL</t>
  </si>
  <si>
    <t>elaboracion de modelos de calificacion de ofertas con la totalidad de requisitos de selección</t>
  </si>
  <si>
    <t>designacion de evaluadores plurales por cada criterio de selección (juridico, tecnico y financiero)</t>
  </si>
  <si>
    <t>cumplimiento de las reglas de selección</t>
  </si>
  <si>
    <t xml:space="preserve">CONTROL INTERNO </t>
  </si>
  <si>
    <t>Conflictos de interés</t>
  </si>
  <si>
    <t>Falta de independencia en la ejecución de las actividades relacionadas con el Control Interno.</t>
  </si>
  <si>
    <t>Posibilidad  de afectacion reputacional por Ocultar o alterar información relacionada con posibles hechos de corrupción de los cuales se tenga conocimiento, favoreciendo indebidamente a servidores públicos y/o terceros.</t>
  </si>
  <si>
    <t xml:space="preserve"> El asesor de control interno propenderá por la documentación,  procedimientos formales para la revisión conjunta de los resultados de las auditorías  y   seguimientos realizados.</t>
  </si>
  <si>
    <t>Publicación oportuna de los informes producto de las actividades realizadas en un periodo determinado.</t>
  </si>
  <si>
    <t>El asesor de control interno no ejecutará actividades propias de la administración de la entidad, cuidando consigo la independencia del proceso</t>
  </si>
  <si>
    <t xml:space="preserve">1. Registro erróneo de forma intencional  en los sitemas de información para beneficio propio o de un tercero.
2. Omisión o incumplimiento de procedimientos para agilizar una actividad  propia del proceso.  </t>
  </si>
  <si>
    <t>Posibilidad de manejo indebido de la información relacionada con el proceso y/o abuso del poder, con el fin de interferir en la gestión para beneficio propio o de un tercero</t>
  </si>
  <si>
    <t xml:space="preserve">
* Seguimientos por parte de entes de control.
* Solicitudes de elegibilidad de cada proceso a la UMUS.
* Firma de compromiso de confidencialidad a todos los contratistas de la entidad</t>
  </si>
  <si>
    <t xml:space="preserve">Cantidad de Riesgos </t>
  </si>
  <si>
    <t>Divulgación A Terceros De Información Confidencial De La Entidad</t>
  </si>
  <si>
    <t>Se hace firmar al personal profesional un compromiso de confidencialidad con la entidad, y se informa que se debe llevar un registro y control de la información producida por los mismos. Se generan acta de entrega de la documentación generada al área de archivo para que esta sea tratada según políticas de la entidad.</t>
  </si>
  <si>
    <t xml:space="preserve">El área de archivo hace la clasificación con el continuo acompañamiento del área técnica para verificación del adecuado proceso. No tener por tiempos prolongados la información si no una vez procesada se hace entrega al área de archivo. Realizar copias de seguridad de la información digital del personal profesional. </t>
  </si>
  <si>
    <t>01 de enero de 2024</t>
  </si>
  <si>
    <t xml:space="preserve">Clasificación  y verificación correcta de documentos </t>
  </si>
  <si>
    <t>Para la empresa se establecieron matrices que estandarizan el proceso de calificación y los cuales han sido aplicados con éxitos para procesos anteriores, lo que permite una unificación de criterios ceñidos a los pliegos. En la calificación se requiere pluralidad del personal profesional para que no existan subjetividad en los criterios sino consensos.</t>
  </si>
  <si>
    <t>Generar mecanismos de calificación que den resultados  reales y bajo los requerimientos.</t>
  </si>
  <si>
    <t>curso</t>
  </si>
  <si>
    <t>solicitud de disponibiliadd y solicitud de registro presupuestal</t>
  </si>
  <si>
    <t>esta el informe de CDP, generado del sistema financiero, en el cual se verifica que esta de acuerdo a las necesidades de la entidad</t>
  </si>
  <si>
    <t xml:space="preserve">se cuenta con un cronograma de actividades </t>
  </si>
  <si>
    <t>la entidad contrata el personal para que realice el apoyo y seguimiento a las necesidades y modificaciones a los diferentes formatos que haya en la entidad.</t>
  </si>
  <si>
    <t>reuniones que se hicieron durante la vigencia con cada uno en el proceso, las capacitaciones que se hicieron en induccion al sistema, paraconocer y ampliar la informacion y las bondades del sistema</t>
  </si>
  <si>
    <t xml:space="preserve">se realiza las conciliaciones necesaarias y se hacen actas de revision de los ajustes bancarios, adicional se hizo actividades de conciliacion y se cruzo contabilidad con pesupuesty tesoreria en el mes de marzo, se contrato una persoa para que realizara esa veificacion </t>
  </si>
  <si>
    <t>NO APLICA</t>
  </si>
  <si>
    <t>Informe mensual PQRS, Libro radicador, Actualización de inventarios, Actualización de inventarios, Libro radicador de oficios y de actos administrativos, Lista chequeo para contratos de servicios, profesionales y apoyo a la gestión, Archivo orden pago</t>
  </si>
  <si>
    <t>Actas de reunión equipo de comunicaciones, parrilla de programación de campañas para redes sociales. Publicaciones en redes sociales. https://www.facebook.com/amablearmenia  -Trimestral</t>
  </si>
  <si>
    <t>Solicitud de información por WhatsApp y entrevistas con información oficial al gerente de la entidad - boletines de prensa y comunicados oficiales de la entidad.  http://armeniaamable.gov.co/sala-de-prensa/noticias-y-actualidad - Trimestral</t>
  </si>
  <si>
    <t>Revisión periodica de la página web de la entidad , verificando que  el contenido en la página este completo, en caso de que falte información solicitarla y actualizarla, respuesta correo electrónico y publicación en página - Trimestral</t>
  </si>
  <si>
    <t>Solicitud de información por WhatsApp y entrevistas con información oficial al gerente de la entidad - El lider de comunicaciones  verifica que la información sea veridica y corresponda a la realidad de la entidad, que no corresponda a otro SETP, la evidencia son boletines de prensa y comunicados oficiales de la entidad.  http://armeniaamable.gov.co/sala-de-prensa/noticias-y-actualidad Trimestral</t>
  </si>
  <si>
    <t>El líder del área revisará los roles de cada miembro del equipo de trabajo, identificando la persona encargada de realizar los textos tanto para las publicaciones o respuestas a la comunidad en redes sociales y otros medios de la entidad, trabajando la forma de expresión de la entidad, garantizando respeto y respuestas acordes, sin faltar a la buena comunicación y relación de la entidad con la ciudadania , Mensajes respondidos a través de redes sociales -        Trimestral</t>
  </si>
  <si>
    <t>El líder de área asistirá a todos los comités de gerencia y reuniones de área donde se traten temas relevantes en desarrollo del SETP, evaluando la información y previendo situaciones que puedan ameritar comunicados o acciones especiales, Asistencias a comités de gerencia y demás actividades o reuniones importantes en el desarrollo del SETP - Trimestral</t>
  </si>
  <si>
    <t xml:space="preserve">Diseñar e implementar una planilla de control para la revisión de los canales de comunicación, reportando con fecha y hora la solicitudes y las respuestas, para llevar un control  e identificar si se está contestando de acuerdo a los tiempos establecidos por ley </t>
  </si>
  <si>
    <t>01 DE ENERO AL  30 DE ABRIL DE 2024</t>
  </si>
  <si>
    <t xml:space="preserve">NO PRESENTÓ SEGUIMIENTO </t>
  </si>
  <si>
    <t xml:space="preserve">Seguimiento Trimestral- Eviedencias Listas de asistencia: 5 Actas de reunión:0 Fotografico:2  </t>
  </si>
  <si>
    <t xml:space="preserve">Seguimiento Trimestral-  Evidencia Listas de asistencia: 3 Actas de reunión:0 Fotografico:2 </t>
  </si>
  <si>
    <t xml:space="preserve">Seguimiento Trimestral - Evidencia Listas de asistencia: 3 Actas de reunión:0 Fotografico </t>
  </si>
  <si>
    <t xml:space="preserve">Seguimiento Trimestral - Evidencia Listas de asistencia: 2 Actas de reunión: Fotografico:0 </t>
  </si>
  <si>
    <t>Contratistas  Area ETLF</t>
  </si>
  <si>
    <t xml:space="preserve">Contratista  Area  ETLF </t>
  </si>
  <si>
    <t xml:space="preserve"> Contratista   Area  ETLF </t>
  </si>
  <si>
    <t>Nota: El consultor (modelador Financiero) finalizó el contrato el 3 de enero del 2022, por tanto no aplicaría seguimiento</t>
  </si>
  <si>
    <t>Realizar cronograma con reuniones pendientes donde debe asistir el consultor financiero y donde se especifique fecha y participantes</t>
  </si>
  <si>
    <t>Realizar documento donde se establezcan las alternativas escogidas en cuanto a la estructura del operador, sistema de gestión y control de flota y patios y talleres</t>
  </si>
  <si>
    <t xml:space="preserve">Seguimiento Trimestral - Evidencia Listas de asistencia:2 Actas de reunión:0 Fotografico:0 </t>
  </si>
  <si>
    <t>Seguimiento Trimestral - Evidencia Listas de asistencia: 5 Actas de reunión:0 Fotografico:0</t>
  </si>
  <si>
    <t xml:space="preserve">Seguimiento Trimestral - Evidencia Listas de asistencia: 2 Actas de reunión:0 Fotografico:0  </t>
  </si>
  <si>
    <t xml:space="preserve">Seguimiento Trimestral - Evidencia Actas de reunión: 2 Listas de asistencia: 3 Registro fotografico: 2 </t>
  </si>
  <si>
    <t>Seguimiento Trimestral - Evidencia Actas de reunión: 2 Listas de asistencia: 3 Registro fotografico: 3</t>
  </si>
  <si>
    <t>Seguimiento Trimestral - Evidencia Actas de reunión: 5 Listas de asistencia: 5 Registro fotografico: 5</t>
  </si>
  <si>
    <t>Seguimiento Trimestral - Evidencia Actas de reunión: 19 Listas de asistencia: 14 Registro fotografico: 19</t>
  </si>
  <si>
    <t xml:space="preserve">Seguimiento Trimestral - Evidencia  Actas de reunión: 19 Listas de asistencia: 14 Registro fotografico: 19 </t>
  </si>
  <si>
    <t xml:space="preserve">Seguimiento Trimestral - Evidencia Respuesta PQRS: 8 </t>
  </si>
  <si>
    <t xml:space="preserve">Seguimiento Trimestral - Evidencia Listas de asistencia: 7 Actas de reunión:2 Fotografico:5 </t>
  </si>
  <si>
    <t>Seguimiento Trimestral - Evidencia  Listas de asistencia: 2 Actas de reunión:0 Fotografico:3</t>
  </si>
  <si>
    <t xml:space="preserve">Seguimiento Trimestral - Evidencia Listas de asistencia: 3 Actas de reunión:0 Fotografico:0 </t>
  </si>
  <si>
    <t xml:space="preserve">Seguimiento Trimestral - Evidencia Listas de asistencia: 1 Actas de reunión:0 Fotografico:0 </t>
  </si>
  <si>
    <t xml:space="preserve">Seguimiento Trimestral - Evidencia  Listas de asistencia: 2 Actas de reunión:0 Fotografico:0  </t>
  </si>
  <si>
    <r>
      <t>Elaborado por: Maria Elena Tobón. G</t>
    </r>
    <r>
      <rPr>
        <sz val="11"/>
        <rFont val="Arial"/>
        <family val="2"/>
      </rPr>
      <t xml:space="preserve">
Aprobado por: Luz Gabriela Giraldo. 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</si>
</sst>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2"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1"/>
      <name val="Arial"/>
      <family val="2"/>
    </font>
    <font>
      <b/>
      <u/>
      <sz val="14"/>
      <color indexed="18"/>
      <name val="Arial"/>
      <family val="2"/>
    </font>
    <font>
      <sz val="16"/>
      <name val="Arial"/>
      <family val="2"/>
    </font>
    <font>
      <sz val="14"/>
      <name val="Arial"/>
      <family val="2"/>
    </font>
    <font>
      <sz val="11"/>
      <color indexed="8"/>
      <name val="Calibri"/>
      <family val="2"/>
    </font>
    <font>
      <b/>
      <sz val="9"/>
      <color indexed="81"/>
      <name val="Tahoma"/>
      <family val="2"/>
    </font>
    <font>
      <sz val="9"/>
      <color indexed="81"/>
      <name val="Tahoma"/>
      <family val="2"/>
    </font>
    <font>
      <b/>
      <u/>
      <sz val="11"/>
      <name val="Arial"/>
      <family val="2"/>
    </font>
    <font>
      <b/>
      <sz val="14"/>
      <color theme="1"/>
      <name val="Arial"/>
      <family val="2"/>
    </font>
    <font>
      <b/>
      <sz val="11"/>
      <color theme="1"/>
      <name val="Arial"/>
      <family val="2"/>
    </font>
    <font>
      <sz val="11"/>
      <color theme="1"/>
      <name val="Arial"/>
      <family val="2"/>
    </font>
    <font>
      <sz val="11"/>
      <color rgb="FF000000"/>
      <name val="Arial"/>
      <family val="2"/>
    </font>
    <font>
      <sz val="11"/>
      <color indexed="8"/>
      <name val="Arial"/>
      <family val="2"/>
    </font>
    <font>
      <sz val="11"/>
      <color theme="9" tint="-0.249977111117893"/>
      <name val="Arial"/>
      <family val="2"/>
    </font>
    <font>
      <sz val="11"/>
      <color indexed="8"/>
      <name val="Calibri"/>
      <family val="2"/>
      <charset val="1"/>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59999389629810485"/>
        <bgColor indexed="64"/>
      </patternFill>
    </fill>
  </fills>
  <borders count="8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right/>
      <top style="medium">
        <color auto="1"/>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double">
        <color auto="1"/>
      </left>
      <right/>
      <top style="double">
        <color auto="1"/>
      </top>
      <bottom/>
      <diagonal/>
    </border>
    <border>
      <left/>
      <right style="thin">
        <color theme="0"/>
      </right>
      <top style="double">
        <color auto="1"/>
      </top>
      <bottom/>
      <diagonal/>
    </border>
    <border>
      <left style="thin">
        <color theme="0"/>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double">
        <color auto="1"/>
      </right>
      <top style="thin">
        <color auto="1"/>
      </top>
      <bottom style="hair">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double">
        <color auto="1"/>
      </right>
      <top style="hair">
        <color auto="1"/>
      </top>
      <bottom style="hair">
        <color auto="1"/>
      </bottom>
      <diagonal/>
    </border>
    <border>
      <left style="hair">
        <color auto="1"/>
      </left>
      <right/>
      <top style="hair">
        <color auto="1"/>
      </top>
      <bottom style="double">
        <color auto="1"/>
      </bottom>
      <diagonal/>
    </border>
    <border>
      <left/>
      <right style="double">
        <color auto="1"/>
      </right>
      <top style="hair">
        <color auto="1"/>
      </top>
      <bottom style="double">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double">
        <color auto="1"/>
      </left>
      <right/>
      <top style="hair">
        <color auto="1"/>
      </top>
      <bottom style="hair">
        <color auto="1"/>
      </bottom>
      <diagonal/>
    </border>
    <border>
      <left/>
      <right style="hair">
        <color auto="1"/>
      </right>
      <top style="hair">
        <color auto="1"/>
      </top>
      <bottom style="hair">
        <color auto="1"/>
      </bottom>
      <diagonal/>
    </border>
    <border>
      <left style="double">
        <color auto="1"/>
      </left>
      <right/>
      <top style="hair">
        <color auto="1"/>
      </top>
      <bottom style="double">
        <color auto="1"/>
      </bottom>
      <diagonal/>
    </border>
    <border>
      <left/>
      <right style="hair">
        <color auto="1"/>
      </right>
      <top style="hair">
        <color auto="1"/>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ashed">
        <color theme="9" tint="-0.24994659260841701"/>
      </right>
      <top/>
      <bottom/>
      <diagonal/>
    </border>
    <border>
      <left style="dashed">
        <color theme="9" tint="-0.24994659260841701"/>
      </left>
      <right/>
      <top style="dashed">
        <color theme="9" tint="-0.24994659260841701"/>
      </top>
      <bottom style="thin">
        <color auto="1"/>
      </bottom>
      <diagonal/>
    </border>
    <border>
      <left/>
      <right style="dashed">
        <color theme="9" tint="-0.24994659260841701"/>
      </right>
      <top style="dashed">
        <color theme="9" tint="-0.24994659260841701"/>
      </top>
      <bottom style="thin">
        <color auto="1"/>
      </bottom>
      <diagonal/>
    </border>
    <border>
      <left style="dashed">
        <color theme="9" tint="-0.24994659260841701"/>
      </left>
      <right style="dashed">
        <color theme="9" tint="-0.24994659260841701"/>
      </right>
      <top style="dashed">
        <color theme="9" tint="-0.24994659260841701"/>
      </top>
      <bottom/>
      <diagonal/>
    </border>
    <border>
      <left style="thin">
        <color auto="1"/>
      </left>
      <right style="thin">
        <color auto="1"/>
      </right>
      <top style="thin">
        <color auto="1"/>
      </top>
      <bottom/>
      <diagonal/>
    </border>
    <border>
      <left style="thin">
        <color auto="1"/>
      </left>
      <right style="thin">
        <color auto="1"/>
      </right>
      <top/>
      <bottom/>
      <diagonal/>
    </border>
  </borders>
  <cellStyleXfs count="7">
    <xf numFmtId="0" fontId="0" fillId="0" borderId="0"/>
    <xf numFmtId="9" fontId="14" fillId="0" borderId="0" applyFont="0" applyFill="0" applyBorder="0" applyAlignment="0" applyProtection="0"/>
    <xf numFmtId="0" fontId="46" fillId="0" borderId="0"/>
    <xf numFmtId="0" fontId="47" fillId="0" borderId="0"/>
    <xf numFmtId="0" fontId="5" fillId="0" borderId="0"/>
    <xf numFmtId="0" fontId="61" fillId="0" borderId="0"/>
    <xf numFmtId="0" fontId="71" fillId="0" borderId="0"/>
  </cellStyleXfs>
  <cellXfs count="546">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7" xfId="0" applyFont="1" applyFill="1" applyBorder="1" applyAlignment="1">
      <alignment horizontal="center" vertical="center" wrapText="1" readingOrder="1"/>
    </xf>
    <xf numFmtId="0" fontId="10" fillId="0" borderId="7" xfId="0" applyFont="1" applyBorder="1" applyAlignment="1">
      <alignment horizontal="justify" vertical="center" wrapText="1" readingOrder="1"/>
    </xf>
    <xf numFmtId="9" fontId="10" fillId="0" borderId="7"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1" fillId="3" borderId="0" xfId="0" applyFont="1" applyFill="1" applyAlignment="1">
      <alignment horizontal="center"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7"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7"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7"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8"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3" fillId="13" borderId="15" xfId="0" applyFont="1" applyFill="1" applyBorder="1" applyAlignment="1" applyProtection="1">
      <alignment horizontal="center" wrapText="1" readingOrder="1"/>
      <protection hidden="1"/>
    </xf>
    <xf numFmtId="0" fontId="0" fillId="3" borderId="0" xfId="0" applyFill="1"/>
    <xf numFmtId="0" fontId="48" fillId="3" borderId="47" xfId="2" applyFont="1" applyFill="1" applyBorder="1"/>
    <xf numFmtId="0" fontId="48" fillId="3" borderId="48" xfId="2" applyFont="1" applyFill="1" applyBorder="1"/>
    <xf numFmtId="0" fontId="48" fillId="3" borderId="49"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30" xfId="0" applyFont="1" applyFill="1" applyBorder="1" applyAlignment="1">
      <alignment horizontal="center" vertical="center" wrapText="1" readingOrder="1"/>
    </xf>
    <xf numFmtId="0" fontId="37" fillId="3" borderId="30" xfId="0" applyFont="1" applyFill="1" applyBorder="1" applyAlignment="1">
      <alignment horizontal="justify" vertical="center" wrapText="1" readingOrder="1"/>
    </xf>
    <xf numFmtId="9" fontId="36" fillId="3" borderId="39" xfId="0" applyNumberFormat="1" applyFont="1" applyFill="1" applyBorder="1" applyAlignment="1">
      <alignment horizontal="center" vertical="center" wrapText="1" readingOrder="1"/>
    </xf>
    <xf numFmtId="0" fontId="36" fillId="3" borderId="29" xfId="0" applyFont="1" applyFill="1" applyBorder="1" applyAlignment="1">
      <alignment horizontal="center" vertical="center" wrapText="1" readingOrder="1"/>
    </xf>
    <xf numFmtId="0" fontId="37" fillId="3" borderId="29" xfId="0" applyFont="1" applyFill="1" applyBorder="1" applyAlignment="1">
      <alignment horizontal="justify" vertical="center" wrapText="1" readingOrder="1"/>
    </xf>
    <xf numFmtId="9" fontId="36" fillId="3" borderId="34" xfId="0" applyNumberFormat="1" applyFont="1" applyFill="1" applyBorder="1" applyAlignment="1">
      <alignment horizontal="center" vertical="center" wrapText="1" readingOrder="1"/>
    </xf>
    <xf numFmtId="0" fontId="37" fillId="3" borderId="34" xfId="0" applyFont="1" applyFill="1" applyBorder="1" applyAlignment="1">
      <alignment horizontal="center" vertical="center" wrapText="1" readingOrder="1"/>
    </xf>
    <xf numFmtId="0" fontId="36" fillId="3" borderId="36" xfId="0" applyFont="1" applyFill="1" applyBorder="1" applyAlignment="1">
      <alignment horizontal="center" vertical="center" wrapText="1" readingOrder="1"/>
    </xf>
    <xf numFmtId="0" fontId="37" fillId="3" borderId="36" xfId="0" applyFont="1" applyFill="1" applyBorder="1" applyAlignment="1">
      <alignment horizontal="justify" vertical="center" wrapText="1" readingOrder="1"/>
    </xf>
    <xf numFmtId="0" fontId="37" fillId="3" borderId="37" xfId="0" applyFont="1" applyFill="1" applyBorder="1" applyAlignment="1">
      <alignment horizontal="center" vertical="center" wrapText="1" readingOrder="1"/>
    </xf>
    <xf numFmtId="0" fontId="45" fillId="3" borderId="0" xfId="0" applyFont="1" applyFill="1"/>
    <xf numFmtId="0" fontId="36" fillId="15" borderId="41" xfId="0" applyFont="1" applyFill="1" applyBorder="1" applyAlignment="1">
      <alignment horizontal="center" vertical="center" wrapText="1" readingOrder="1"/>
    </xf>
    <xf numFmtId="0" fontId="36" fillId="15" borderId="42"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10"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11" xfId="2" applyFont="1" applyFill="1" applyBorder="1"/>
    <xf numFmtId="0" fontId="48" fillId="3" borderId="12" xfId="2" applyFont="1" applyFill="1" applyBorder="1"/>
    <xf numFmtId="0" fontId="48" fillId="3" borderId="14" xfId="2" applyFont="1" applyFill="1" applyBorder="1"/>
    <xf numFmtId="0" fontId="48" fillId="3" borderId="13"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10"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11" xfId="2" quotePrefix="1" applyFont="1" applyFill="1" applyBorder="1" applyAlignment="1">
      <alignment horizontal="left" vertical="top" wrapText="1"/>
    </xf>
    <xf numFmtId="0" fontId="25" fillId="0" borderId="24" xfId="0" applyFont="1" applyBorder="1" applyAlignment="1">
      <alignment vertical="center"/>
    </xf>
    <xf numFmtId="0" fontId="25" fillId="0" borderId="25" xfId="0" applyFont="1" applyBorder="1" applyAlignment="1">
      <alignment vertical="center"/>
    </xf>
    <xf numFmtId="0" fontId="25" fillId="0" borderId="26" xfId="0" applyFont="1" applyBorder="1" applyAlignment="1">
      <alignment vertical="center"/>
    </xf>
    <xf numFmtId="0" fontId="57" fillId="3" borderId="8" xfId="0" applyFont="1" applyFill="1" applyBorder="1" applyAlignment="1" applyProtection="1">
      <alignment wrapText="1"/>
      <protection hidden="1"/>
    </xf>
    <xf numFmtId="0" fontId="57" fillId="3" borderId="9" xfId="0" applyFont="1" applyFill="1" applyBorder="1" applyAlignment="1" applyProtection="1">
      <alignment wrapText="1"/>
      <protection hidden="1"/>
    </xf>
    <xf numFmtId="0" fontId="57" fillId="3" borderId="0" xfId="0" applyFont="1" applyFill="1" applyAlignment="1" applyProtection="1">
      <alignment wrapText="1"/>
      <protection hidden="1"/>
    </xf>
    <xf numFmtId="0" fontId="58" fillId="3" borderId="71" xfId="0" applyFont="1" applyFill="1" applyBorder="1" applyAlignment="1">
      <alignment vertical="top"/>
    </xf>
    <xf numFmtId="0" fontId="25" fillId="0" borderId="0" xfId="0" applyFont="1" applyAlignment="1">
      <alignment vertical="center"/>
    </xf>
    <xf numFmtId="0" fontId="25" fillId="0" borderId="74" xfId="0" applyFont="1" applyBorder="1" applyAlignment="1">
      <alignment vertical="center"/>
    </xf>
    <xf numFmtId="0" fontId="57" fillId="3" borderId="10" xfId="0" applyFont="1" applyFill="1" applyBorder="1" applyAlignment="1" applyProtection="1">
      <alignment wrapText="1"/>
      <protection hidden="1"/>
    </xf>
    <xf numFmtId="0" fontId="57" fillId="3" borderId="11" xfId="0" applyFont="1" applyFill="1" applyBorder="1" applyAlignment="1" applyProtection="1">
      <alignment horizontal="left" wrapText="1"/>
      <protection hidden="1"/>
    </xf>
    <xf numFmtId="0" fontId="57" fillId="3" borderId="0" xfId="0" applyFont="1" applyFill="1" applyAlignment="1" applyProtection="1">
      <alignment horizontal="left" wrapText="1"/>
      <protection hidden="1"/>
    </xf>
    <xf numFmtId="0" fontId="58" fillId="3" borderId="33" xfId="0" applyFont="1" applyFill="1" applyBorder="1" applyAlignment="1">
      <alignment vertical="top"/>
    </xf>
    <xf numFmtId="0" fontId="57" fillId="3" borderId="12" xfId="0" applyFont="1" applyFill="1" applyBorder="1" applyAlignment="1" applyProtection="1">
      <alignment wrapText="1"/>
      <protection hidden="1"/>
    </xf>
    <xf numFmtId="14" fontId="57" fillId="3" borderId="13" xfId="0" applyNumberFormat="1" applyFont="1" applyFill="1" applyBorder="1" applyAlignment="1" applyProtection="1">
      <alignment horizontal="left" wrapText="1"/>
      <protection hidden="1"/>
    </xf>
    <xf numFmtId="14" fontId="57" fillId="3" borderId="0" xfId="0" applyNumberFormat="1" applyFont="1" applyFill="1" applyAlignment="1" applyProtection="1">
      <alignment horizontal="left" wrapText="1"/>
      <protection hidden="1"/>
    </xf>
    <xf numFmtId="0" fontId="25" fillId="0" borderId="27" xfId="0" applyFont="1" applyBorder="1" applyAlignment="1">
      <alignment vertical="center"/>
    </xf>
    <xf numFmtId="0" fontId="25" fillId="0" borderId="28" xfId="0" applyFont="1" applyBorder="1" applyAlignment="1">
      <alignment vertical="center"/>
    </xf>
    <xf numFmtId="0" fontId="58" fillId="3" borderId="0" xfId="0" applyFont="1" applyFill="1" applyAlignment="1" applyProtection="1">
      <alignment horizontal="left" vertical="top"/>
      <protection locked="0"/>
    </xf>
    <xf numFmtId="0" fontId="1" fillId="3" borderId="0" xfId="0" applyFont="1" applyFill="1" applyAlignment="1">
      <alignment vertical="center"/>
    </xf>
    <xf numFmtId="0" fontId="1" fillId="0" borderId="0" xfId="0" applyFont="1" applyAlignment="1">
      <alignment vertical="center"/>
    </xf>
    <xf numFmtId="0" fontId="1" fillId="16" borderId="0" xfId="0" applyFont="1" applyFill="1"/>
    <xf numFmtId="0" fontId="66" fillId="2" borderId="29" xfId="0" applyFont="1" applyFill="1" applyBorder="1" applyAlignment="1">
      <alignment horizontal="center" vertical="center" textRotation="90"/>
    </xf>
    <xf numFmtId="0" fontId="67" fillId="0" borderId="29" xfId="0" applyFont="1" applyBorder="1" applyAlignment="1" applyProtection="1">
      <alignment horizontal="center" vertical="center" wrapText="1"/>
      <protection locked="0"/>
    </xf>
    <xf numFmtId="0" fontId="67" fillId="0" borderId="29" xfId="0" applyFont="1" applyBorder="1" applyAlignment="1">
      <alignment horizontal="center" vertical="center"/>
    </xf>
    <xf numFmtId="0" fontId="67" fillId="0" borderId="29" xfId="0" applyFont="1" applyBorder="1" applyAlignment="1" applyProtection="1">
      <alignment horizontal="center" vertical="center"/>
      <protection hidden="1"/>
    </xf>
    <xf numFmtId="0" fontId="67" fillId="0" borderId="29" xfId="0" applyFont="1" applyBorder="1" applyAlignment="1" applyProtection="1">
      <alignment horizontal="center" vertical="center" textRotation="90"/>
      <protection locked="0"/>
    </xf>
    <xf numFmtId="9" fontId="67" fillId="0" borderId="29" xfId="0" applyNumberFormat="1" applyFont="1" applyBorder="1" applyAlignment="1" applyProtection="1">
      <alignment horizontal="center" vertical="center"/>
      <protection hidden="1"/>
    </xf>
    <xf numFmtId="164" fontId="67" fillId="0" borderId="29" xfId="1" applyNumberFormat="1" applyFont="1" applyBorder="1" applyAlignment="1">
      <alignment horizontal="center" vertical="center"/>
    </xf>
    <xf numFmtId="0" fontId="67" fillId="0" borderId="29" xfId="0" applyFont="1" applyBorder="1" applyAlignment="1" applyProtection="1">
      <alignment vertical="center" wrapText="1"/>
      <protection locked="0"/>
    </xf>
    <xf numFmtId="0" fontId="67" fillId="0" borderId="29" xfId="0" applyFont="1" applyBorder="1" applyAlignment="1" applyProtection="1">
      <alignment horizontal="center" vertical="center"/>
      <protection locked="0"/>
    </xf>
    <xf numFmtId="9" fontId="67" fillId="0" borderId="29" xfId="0" applyNumberFormat="1" applyFont="1" applyBorder="1" applyAlignment="1" applyProtection="1">
      <alignment horizontal="center" vertical="center" wrapText="1"/>
      <protection hidden="1"/>
    </xf>
    <xf numFmtId="9" fontId="67" fillId="0" borderId="29" xfId="0" applyNumberFormat="1" applyFont="1" applyBorder="1" applyAlignment="1" applyProtection="1">
      <alignment horizontal="center" vertical="center" wrapText="1"/>
      <protection locked="0"/>
    </xf>
    <xf numFmtId="14" fontId="67" fillId="0" borderId="29" xfId="0" applyNumberFormat="1" applyFont="1" applyBorder="1" applyAlignment="1" applyProtection="1">
      <alignment horizontal="center" vertical="center"/>
      <protection locked="0"/>
    </xf>
    <xf numFmtId="14" fontId="67" fillId="0" borderId="29" xfId="0" applyNumberFormat="1" applyFont="1" applyBorder="1" applyAlignment="1" applyProtection="1">
      <alignment horizontal="center" vertical="center" wrapText="1"/>
      <protection locked="0"/>
    </xf>
    <xf numFmtId="164" fontId="67" fillId="9" borderId="29" xfId="1" applyNumberFormat="1" applyFont="1" applyFill="1" applyBorder="1" applyAlignment="1">
      <alignment horizontal="center" vertical="center"/>
    </xf>
    <xf numFmtId="0" fontId="67" fillId="0" borderId="29" xfId="0" applyFont="1" applyBorder="1" applyAlignment="1" applyProtection="1">
      <alignment horizontal="justify" vertical="center"/>
      <protection locked="0"/>
    </xf>
    <xf numFmtId="0" fontId="67" fillId="0" borderId="0" xfId="0" applyFont="1"/>
    <xf numFmtId="0" fontId="67" fillId="0" borderId="3" xfId="0" applyFont="1" applyBorder="1" applyAlignment="1">
      <alignment horizontal="center" vertical="center"/>
    </xf>
    <xf numFmtId="0" fontId="67" fillId="0" borderId="0" xfId="0" applyFont="1" applyAlignment="1">
      <alignment horizontal="center" vertical="center"/>
    </xf>
    <xf numFmtId="0" fontId="67" fillId="0" borderId="0" xfId="0" applyFont="1" applyAlignment="1">
      <alignment horizontal="center"/>
    </xf>
    <xf numFmtId="0" fontId="67" fillId="0" borderId="29" xfId="0" applyFont="1" applyBorder="1" applyAlignment="1" applyProtection="1">
      <alignment horizontal="justify" vertical="center" wrapText="1"/>
      <protection locked="0"/>
    </xf>
    <xf numFmtId="0" fontId="69" fillId="0" borderId="29" xfId="5" applyFont="1" applyBorder="1" applyAlignment="1" applyProtection="1">
      <alignment horizontal="left" vertical="center" wrapText="1"/>
      <protection locked="0"/>
    </xf>
    <xf numFmtId="0" fontId="67" fillId="0" borderId="29" xfId="0" applyFont="1" applyBorder="1" applyAlignment="1">
      <alignment horizontal="center" vertical="center" wrapText="1"/>
    </xf>
    <xf numFmtId="0" fontId="67" fillId="3" borderId="29" xfId="0" applyFont="1" applyFill="1" applyBorder="1" applyAlignment="1" applyProtection="1">
      <alignment vertical="center" wrapText="1"/>
      <protection locked="0"/>
    </xf>
    <xf numFmtId="0" fontId="57" fillId="3" borderId="29" xfId="0" applyFont="1" applyFill="1" applyBorder="1" applyAlignment="1" applyProtection="1">
      <alignment horizontal="center" vertical="center" wrapText="1"/>
      <protection locked="0"/>
    </xf>
    <xf numFmtId="0" fontId="67" fillId="0" borderId="29" xfId="0" applyFont="1" applyBorder="1" applyAlignment="1" applyProtection="1">
      <alignment horizontal="center" vertical="center" textRotation="90" wrapText="1"/>
      <protection hidden="1"/>
    </xf>
    <xf numFmtId="0" fontId="67" fillId="0" borderId="29" xfId="0" applyFont="1" applyBorder="1" applyAlignment="1" applyProtection="1">
      <alignment horizontal="center" vertical="center" textRotation="90"/>
      <protection hidden="1"/>
    </xf>
    <xf numFmtId="0" fontId="67" fillId="0" borderId="29" xfId="0" applyFont="1" applyBorder="1" applyAlignment="1" applyProtection="1">
      <alignment horizontal="center" vertical="center" wrapText="1"/>
      <protection hidden="1"/>
    </xf>
    <xf numFmtId="0" fontId="67" fillId="3" borderId="29" xfId="0" applyFont="1" applyFill="1" applyBorder="1" applyAlignment="1">
      <alignment horizontal="center" vertical="center"/>
    </xf>
    <xf numFmtId="0" fontId="67" fillId="3" borderId="29" xfId="0" applyFont="1" applyFill="1" applyBorder="1" applyAlignment="1" applyProtection="1">
      <alignment horizontal="center" vertical="center" wrapText="1"/>
      <protection locked="0"/>
    </xf>
    <xf numFmtId="0" fontId="67" fillId="3" borderId="29" xfId="0" applyFont="1" applyFill="1" applyBorder="1" applyAlignment="1" applyProtection="1">
      <alignment horizontal="center" vertical="center"/>
      <protection locked="0"/>
    </xf>
    <xf numFmtId="0" fontId="57" fillId="3" borderId="0" xfId="0" applyFont="1" applyFill="1" applyAlignment="1" applyProtection="1">
      <alignment horizontal="center" vertical="center" wrapText="1"/>
      <protection hidden="1"/>
    </xf>
    <xf numFmtId="0" fontId="64" fillId="3" borderId="71" xfId="0" applyFont="1" applyFill="1" applyBorder="1" applyAlignment="1">
      <alignment horizontal="center" vertical="center"/>
    </xf>
    <xf numFmtId="0" fontId="64" fillId="3" borderId="33" xfId="0" applyFont="1" applyFill="1" applyBorder="1" applyAlignment="1">
      <alignment horizontal="center" vertical="center"/>
    </xf>
    <xf numFmtId="14" fontId="57" fillId="3" borderId="0" xfId="0" applyNumberFormat="1" applyFont="1" applyFill="1" applyAlignment="1" applyProtection="1">
      <alignment horizontal="center" vertical="center" wrapText="1"/>
      <protection hidden="1"/>
    </xf>
    <xf numFmtId="0" fontId="67" fillId="3" borderId="29" xfId="0" applyFont="1" applyFill="1" applyBorder="1" applyAlignment="1" applyProtection="1">
      <alignment horizontal="center" vertical="center" textRotation="90"/>
      <protection locked="0"/>
    </xf>
    <xf numFmtId="14" fontId="67" fillId="3" borderId="29" xfId="0" applyNumberFormat="1" applyFont="1" applyFill="1" applyBorder="1" applyAlignment="1" applyProtection="1">
      <alignment horizontal="center" vertical="center" wrapText="1"/>
      <protection locked="0"/>
    </xf>
    <xf numFmtId="164" fontId="67" fillId="16" borderId="29" xfId="1" applyNumberFormat="1" applyFont="1" applyFill="1" applyBorder="1" applyAlignment="1">
      <alignment horizontal="center" vertical="center"/>
    </xf>
    <xf numFmtId="0" fontId="67" fillId="16" borderId="29" xfId="0" applyFont="1" applyFill="1" applyBorder="1" applyAlignment="1" applyProtection="1">
      <alignment horizontal="center" vertical="center" textRotation="90" wrapText="1"/>
      <protection hidden="1"/>
    </xf>
    <xf numFmtId="0" fontId="67" fillId="16" borderId="29" xfId="0" applyFont="1" applyFill="1" applyBorder="1" applyAlignment="1" applyProtection="1">
      <alignment horizontal="center" vertical="center" textRotation="90"/>
      <protection hidden="1"/>
    </xf>
    <xf numFmtId="0" fontId="67" fillId="13" borderId="29" xfId="0" applyFont="1" applyFill="1" applyBorder="1" applyAlignment="1" applyProtection="1">
      <alignment horizontal="center" vertical="center" wrapText="1"/>
      <protection hidden="1"/>
    </xf>
    <xf numFmtId="0" fontId="67" fillId="3" borderId="29" xfId="0" applyFont="1" applyFill="1" applyBorder="1" applyAlignment="1">
      <alignment vertical="center" wrapText="1"/>
    </xf>
    <xf numFmtId="0" fontId="67" fillId="0" borderId="29" xfId="0" applyFont="1" applyBorder="1" applyAlignment="1">
      <alignment vertical="center"/>
    </xf>
    <xf numFmtId="0" fontId="68" fillId="3" borderId="29" xfId="0" applyFont="1" applyFill="1" applyBorder="1" applyAlignment="1" applyProtection="1">
      <alignment horizontal="center" vertical="center" wrapText="1"/>
      <protection locked="0"/>
    </xf>
    <xf numFmtId="0" fontId="67" fillId="0" borderId="0" xfId="0" applyFont="1" applyAlignment="1">
      <alignment vertical="center"/>
    </xf>
    <xf numFmtId="9" fontId="67" fillId="3" borderId="29" xfId="0" applyNumberFormat="1" applyFont="1" applyFill="1" applyBorder="1" applyAlignment="1" applyProtection="1">
      <alignment horizontal="center" vertical="center" wrapText="1"/>
      <protection hidden="1"/>
    </xf>
    <xf numFmtId="9" fontId="67" fillId="3" borderId="29" xfId="0" applyNumberFormat="1" applyFont="1" applyFill="1" applyBorder="1" applyAlignment="1" applyProtection="1">
      <alignment horizontal="center" vertical="center" wrapText="1"/>
      <protection locked="0"/>
    </xf>
    <xf numFmtId="0" fontId="69" fillId="3" borderId="29" xfId="5" applyFont="1" applyFill="1" applyBorder="1" applyAlignment="1" applyProtection="1">
      <alignment horizontal="left" vertical="center" wrapText="1"/>
      <protection locked="0"/>
    </xf>
    <xf numFmtId="0" fontId="67" fillId="3" borderId="29" xfId="0" applyFont="1" applyFill="1" applyBorder="1" applyAlignment="1" applyProtection="1">
      <alignment horizontal="center" vertical="center"/>
      <protection hidden="1"/>
    </xf>
    <xf numFmtId="9" fontId="67" fillId="3" borderId="29" xfId="0" applyNumberFormat="1" applyFont="1" applyFill="1" applyBorder="1" applyAlignment="1" applyProtection="1">
      <alignment horizontal="center" vertical="center"/>
      <protection hidden="1"/>
    </xf>
    <xf numFmtId="0" fontId="67" fillId="3" borderId="29" xfId="0" applyFont="1" applyFill="1" applyBorder="1" applyAlignment="1" applyProtection="1">
      <alignment horizontal="justify" vertical="center"/>
      <protection locked="0"/>
    </xf>
    <xf numFmtId="0" fontId="67" fillId="3" borderId="29" xfId="0" applyFont="1" applyFill="1" applyBorder="1" applyAlignment="1" applyProtection="1">
      <alignment horizontal="center" vertical="center" textRotation="90" wrapText="1"/>
      <protection hidden="1"/>
    </xf>
    <xf numFmtId="0" fontId="67" fillId="3" borderId="29" xfId="0" applyFont="1" applyFill="1" applyBorder="1" applyAlignment="1" applyProtection="1">
      <alignment horizontal="center" vertical="center" textRotation="90"/>
      <protection hidden="1"/>
    </xf>
    <xf numFmtId="0" fontId="57" fillId="0" borderId="29" xfId="0" applyFont="1" applyBorder="1" applyAlignment="1">
      <alignment horizontal="center" vertical="center" wrapText="1"/>
    </xf>
    <xf numFmtId="9" fontId="1" fillId="0" borderId="77" xfId="0" applyNumberFormat="1" applyFont="1" applyBorder="1" applyAlignment="1" applyProtection="1">
      <alignment horizontal="center" vertical="top" wrapText="1"/>
      <protection hidden="1"/>
    </xf>
    <xf numFmtId="9" fontId="1" fillId="0" borderId="77" xfId="0" applyNumberFormat="1" applyFont="1" applyBorder="1" applyAlignment="1" applyProtection="1">
      <alignment horizontal="center" vertical="center" wrapText="1"/>
      <protection locked="0"/>
    </xf>
    <xf numFmtId="0" fontId="4" fillId="0" borderId="77" xfId="0" applyFont="1" applyFill="1" applyBorder="1" applyAlignment="1" applyProtection="1">
      <alignment horizontal="center" vertical="center" wrapText="1"/>
      <protection hidden="1"/>
    </xf>
    <xf numFmtId="9" fontId="1" fillId="0" borderId="77" xfId="0" applyNumberFormat="1" applyFont="1" applyBorder="1" applyAlignment="1" applyProtection="1">
      <alignment horizontal="center" vertical="center" wrapText="1"/>
      <protection hidden="1"/>
    </xf>
    <xf numFmtId="0" fontId="4" fillId="0" borderId="77" xfId="0" applyFont="1" applyBorder="1" applyAlignment="1" applyProtection="1">
      <alignment horizontal="center" vertical="center"/>
      <protection hidden="1"/>
    </xf>
    <xf numFmtId="0" fontId="67" fillId="3" borderId="29" xfId="0" applyFont="1" applyFill="1" applyBorder="1" applyAlignment="1">
      <alignment horizontal="center" vertical="center" wrapText="1"/>
    </xf>
    <xf numFmtId="0" fontId="1" fillId="0" borderId="29" xfId="0" applyFont="1" applyBorder="1" applyAlignment="1" applyProtection="1">
      <alignment horizontal="center" vertical="center"/>
      <protection locked="0"/>
    </xf>
    <xf numFmtId="0" fontId="67" fillId="0" borderId="29" xfId="0" applyFont="1" applyBorder="1" applyAlignment="1">
      <alignment horizontal="center" vertical="center"/>
    </xf>
    <xf numFmtId="0" fontId="67" fillId="3" borderId="29" xfId="0" applyFont="1" applyFill="1" applyBorder="1" applyAlignment="1">
      <alignment horizontal="center" vertical="center"/>
    </xf>
    <xf numFmtId="0" fontId="67" fillId="0" borderId="29" xfId="0" applyFont="1" applyBorder="1" applyAlignment="1" applyProtection="1">
      <alignment horizontal="center" vertical="center"/>
      <protection hidden="1"/>
    </xf>
    <xf numFmtId="9" fontId="67" fillId="0" borderId="29" xfId="0" applyNumberFormat="1" applyFont="1" applyBorder="1" applyAlignment="1" applyProtection="1">
      <alignment horizontal="center" vertical="center" wrapText="1"/>
      <protection hidden="1"/>
    </xf>
    <xf numFmtId="0" fontId="67" fillId="0" borderId="29" xfId="0" applyFont="1" applyBorder="1" applyAlignment="1" applyProtection="1">
      <alignment horizontal="center" vertical="center" wrapText="1"/>
      <protection locked="0"/>
    </xf>
    <xf numFmtId="0" fontId="67" fillId="0" borderId="29" xfId="0" applyFont="1" applyBorder="1" applyAlignment="1" applyProtection="1">
      <alignment horizontal="center" vertical="center"/>
      <protection locked="0"/>
    </xf>
    <xf numFmtId="9" fontId="67" fillId="0" borderId="29" xfId="0" applyNumberFormat="1" applyFont="1" applyBorder="1" applyAlignment="1" applyProtection="1">
      <alignment horizontal="center" vertical="center" wrapText="1"/>
      <protection locked="0"/>
    </xf>
    <xf numFmtId="0" fontId="67" fillId="0" borderId="29" xfId="0" applyFont="1" applyBorder="1" applyAlignment="1">
      <alignment horizontal="center" vertical="center" wrapText="1"/>
    </xf>
    <xf numFmtId="14" fontId="67" fillId="0" borderId="29" xfId="0" applyNumberFormat="1" applyFont="1" applyBorder="1" applyAlignment="1" applyProtection="1">
      <alignment horizontal="center" vertical="center" wrapText="1"/>
      <protection locked="0"/>
    </xf>
    <xf numFmtId="0" fontId="57" fillId="3" borderId="29" xfId="0" applyFont="1" applyFill="1" applyBorder="1" applyAlignment="1" applyProtection="1">
      <alignment horizontal="center" vertical="center" wrapText="1"/>
      <protection hidden="1"/>
    </xf>
    <xf numFmtId="14" fontId="57" fillId="13" borderId="29" xfId="0" applyNumberFormat="1" applyFont="1" applyFill="1" applyBorder="1" applyAlignment="1" applyProtection="1">
      <alignment horizontal="center" vertical="center" wrapText="1"/>
      <protection hidden="1"/>
    </xf>
    <xf numFmtId="0" fontId="66" fillId="2" borderId="29" xfId="0" applyFont="1" applyFill="1" applyBorder="1" applyAlignment="1">
      <alignment vertical="center" wrapText="1"/>
    </xf>
    <xf numFmtId="0" fontId="67" fillId="0" borderId="29" xfId="0" applyFont="1" applyBorder="1" applyAlignment="1">
      <alignment horizontal="center" vertical="top"/>
    </xf>
    <xf numFmtId="0" fontId="67" fillId="0" borderId="29" xfId="0" applyFont="1" applyBorder="1" applyAlignment="1" applyProtection="1">
      <alignment horizontal="justify" vertical="top" wrapText="1"/>
      <protection locked="0"/>
    </xf>
    <xf numFmtId="0" fontId="67" fillId="0" borderId="29" xfId="0" applyFont="1" applyBorder="1" applyAlignment="1" applyProtection="1">
      <alignment horizontal="center" vertical="top"/>
      <protection hidden="1"/>
    </xf>
    <xf numFmtId="0" fontId="67" fillId="0" borderId="29" xfId="0" applyFont="1" applyBorder="1" applyAlignment="1" applyProtection="1">
      <alignment horizontal="center" vertical="top" textRotation="90"/>
      <protection locked="0"/>
    </xf>
    <xf numFmtId="9" fontId="67" fillId="0" borderId="29" xfId="0" applyNumberFormat="1" applyFont="1" applyBorder="1" applyAlignment="1" applyProtection="1">
      <alignment horizontal="center" vertical="top"/>
      <protection hidden="1"/>
    </xf>
    <xf numFmtId="164" fontId="67" fillId="0" borderId="29" xfId="1" applyNumberFormat="1" applyFont="1" applyBorder="1" applyAlignment="1">
      <alignment horizontal="center" vertical="top"/>
    </xf>
    <xf numFmtId="0" fontId="66" fillId="0" borderId="29" xfId="0" applyFont="1" applyBorder="1" applyAlignment="1" applyProtection="1">
      <alignment horizontal="center" vertical="top" textRotation="90"/>
      <protection hidden="1"/>
    </xf>
    <xf numFmtId="0" fontId="67" fillId="0" borderId="29" xfId="0" applyFont="1" applyBorder="1" applyAlignment="1" applyProtection="1">
      <alignment horizontal="center" vertical="top" wrapText="1"/>
      <protection locked="0"/>
    </xf>
    <xf numFmtId="0" fontId="67" fillId="0" borderId="29" xfId="0" applyFont="1" applyBorder="1" applyAlignment="1" applyProtection="1">
      <alignment horizontal="center" vertical="top"/>
      <protection locked="0"/>
    </xf>
    <xf numFmtId="14" fontId="67" fillId="0" borderId="29" xfId="0" applyNumberFormat="1" applyFont="1" applyBorder="1" applyAlignment="1" applyProtection="1">
      <alignment horizontal="center" vertical="top"/>
      <protection locked="0"/>
    </xf>
    <xf numFmtId="0" fontId="67" fillId="0" borderId="29" xfId="0" applyFont="1" applyBorder="1" applyAlignment="1">
      <alignment horizontal="center" vertical="top" wrapText="1"/>
    </xf>
    <xf numFmtId="0" fontId="67" fillId="0" borderId="29" xfId="0" applyFont="1" applyBorder="1" applyAlignment="1">
      <alignment vertical="center" wrapText="1"/>
    </xf>
    <xf numFmtId="0" fontId="66" fillId="0" borderId="29" xfId="0" applyFont="1" applyBorder="1" applyAlignment="1" applyProtection="1">
      <alignment horizontal="center" vertical="top" textRotation="90" wrapText="1"/>
      <protection hidden="1"/>
    </xf>
    <xf numFmtId="9" fontId="67" fillId="0" borderId="29" xfId="0" applyNumberFormat="1" applyFont="1" applyBorder="1" applyAlignment="1" applyProtection="1">
      <alignment vertical="top" wrapText="1"/>
      <protection hidden="1"/>
    </xf>
    <xf numFmtId="164" fontId="67" fillId="9" borderId="29" xfId="1" applyNumberFormat="1" applyFont="1" applyFill="1" applyBorder="1" applyAlignment="1">
      <alignment horizontal="center" vertical="top"/>
    </xf>
    <xf numFmtId="0" fontId="66" fillId="0" borderId="29" xfId="0" applyFont="1" applyBorder="1" applyAlignment="1" applyProtection="1">
      <alignment horizontal="center" vertical="center" wrapText="1"/>
      <protection hidden="1"/>
    </xf>
    <xf numFmtId="0" fontId="66" fillId="0" borderId="29" xfId="0" applyFont="1" applyBorder="1" applyAlignment="1" applyProtection="1">
      <alignment horizontal="center" vertical="center"/>
      <protection hidden="1"/>
    </xf>
    <xf numFmtId="0" fontId="66" fillId="0" borderId="29" xfId="0" applyFont="1" applyBorder="1" applyAlignment="1" applyProtection="1">
      <alignment horizontal="center" vertical="center" textRotation="90" wrapText="1"/>
      <protection hidden="1"/>
    </xf>
    <xf numFmtId="0" fontId="66" fillId="0" borderId="29" xfId="0" applyFont="1" applyBorder="1" applyAlignment="1" applyProtection="1">
      <alignment horizontal="center" vertical="center" textRotation="90"/>
      <protection hidden="1"/>
    </xf>
    <xf numFmtId="0" fontId="1" fillId="2" borderId="29" xfId="0" applyFont="1" applyFill="1" applyBorder="1" applyAlignment="1"/>
    <xf numFmtId="0" fontId="67" fillId="0" borderId="29" xfId="0" applyFont="1" applyBorder="1" applyAlignment="1">
      <alignment horizontal="center" vertical="center"/>
    </xf>
    <xf numFmtId="0" fontId="67" fillId="0" borderId="29" xfId="0" applyFont="1" applyBorder="1" applyAlignment="1">
      <alignment horizontal="center" vertical="center" wrapText="1"/>
    </xf>
    <xf numFmtId="0" fontId="67" fillId="0" borderId="29" xfId="0" applyFont="1" applyBorder="1" applyAlignment="1" applyProtection="1">
      <alignment horizontal="center" vertical="center" wrapText="1"/>
      <protection hidden="1"/>
    </xf>
    <xf numFmtId="0" fontId="67" fillId="0" borderId="29" xfId="0" applyFont="1" applyBorder="1" applyAlignment="1" applyProtection="1">
      <alignment horizontal="center" vertical="center"/>
      <protection hidden="1"/>
    </xf>
    <xf numFmtId="0" fontId="67" fillId="0" borderId="29" xfId="0" applyFont="1" applyBorder="1" applyAlignment="1" applyProtection="1">
      <alignment horizontal="center" vertical="center" wrapText="1"/>
      <protection locked="0"/>
    </xf>
    <xf numFmtId="0" fontId="67" fillId="0" borderId="29" xfId="0" applyFont="1" applyBorder="1" applyAlignment="1" applyProtection="1">
      <alignment horizontal="center" vertical="center"/>
      <protection locked="0"/>
    </xf>
    <xf numFmtId="14" fontId="67" fillId="0" borderId="29" xfId="0" applyNumberFormat="1" applyFont="1" applyBorder="1" applyAlignment="1" applyProtection="1">
      <alignment horizontal="center" vertical="center" wrapText="1"/>
      <protection locked="0"/>
    </xf>
    <xf numFmtId="14" fontId="57" fillId="0" borderId="29" xfId="0" applyNumberFormat="1" applyFont="1" applyBorder="1" applyAlignment="1" applyProtection="1">
      <alignment horizontal="center" vertical="center" wrapText="1"/>
      <protection locked="0"/>
    </xf>
    <xf numFmtId="0" fontId="57" fillId="0" borderId="29" xfId="0" applyFont="1" applyBorder="1" applyAlignment="1" applyProtection="1">
      <alignment horizontal="center" vertical="center" wrapText="1"/>
      <protection locked="0"/>
    </xf>
    <xf numFmtId="0" fontId="67" fillId="0" borderId="29" xfId="0" applyFont="1" applyBorder="1" applyAlignment="1" applyProtection="1">
      <alignment horizontal="center" vertical="center" wrapText="1"/>
      <protection locked="0"/>
    </xf>
    <xf numFmtId="14" fontId="67" fillId="0" borderId="29" xfId="0" applyNumberFormat="1" applyFont="1" applyBorder="1" applyAlignment="1" applyProtection="1">
      <alignment horizontal="center" vertical="center" wrapText="1"/>
      <protection locked="0"/>
    </xf>
    <xf numFmtId="0" fontId="67" fillId="0" borderId="29" xfId="0" applyFont="1" applyBorder="1" applyAlignment="1" applyProtection="1">
      <alignment horizontal="center" vertical="center"/>
      <protection locked="0"/>
    </xf>
    <xf numFmtId="9" fontId="67" fillId="0" borderId="29" xfId="0" applyNumberFormat="1" applyFont="1" applyBorder="1" applyAlignment="1" applyProtection="1">
      <alignment horizontal="center" vertical="center" wrapText="1"/>
      <protection hidden="1"/>
    </xf>
    <xf numFmtId="0" fontId="67" fillId="0" borderId="29" xfId="0" applyFont="1" applyBorder="1" applyAlignment="1" applyProtection="1">
      <alignment horizontal="center" vertical="top" wrapText="1"/>
      <protection locked="0"/>
    </xf>
    <xf numFmtId="0" fontId="66" fillId="0" borderId="29" xfId="0" applyFont="1" applyFill="1" applyBorder="1" applyAlignment="1" applyProtection="1">
      <alignment horizontal="center" vertical="center" textRotation="90" wrapText="1"/>
      <protection hidden="1"/>
    </xf>
    <xf numFmtId="9" fontId="67" fillId="0" borderId="78" xfId="0" applyNumberFormat="1" applyFont="1" applyBorder="1" applyAlignment="1" applyProtection="1">
      <alignment horizontal="center" vertical="center" wrapText="1"/>
      <protection locked="0"/>
    </xf>
    <xf numFmtId="9" fontId="67" fillId="0" borderId="78" xfId="0" applyNumberFormat="1" applyFont="1" applyBorder="1" applyAlignment="1" applyProtection="1">
      <alignment horizontal="center" vertical="center" wrapText="1"/>
      <protection hidden="1"/>
    </xf>
    <xf numFmtId="0" fontId="67" fillId="0" borderId="29" xfId="0" applyFont="1" applyBorder="1" applyAlignment="1" applyProtection="1">
      <alignment horizontal="center" vertical="top" wrapText="1"/>
      <protection locked="0"/>
    </xf>
    <xf numFmtId="0" fontId="67" fillId="0" borderId="29" xfId="0" applyFont="1" applyBorder="1" applyAlignment="1">
      <alignment horizontal="center" vertical="center" wrapText="1"/>
    </xf>
    <xf numFmtId="0" fontId="67" fillId="0" borderId="29" xfId="0" applyFont="1" applyBorder="1" applyAlignment="1" applyProtection="1">
      <alignment horizontal="center" vertical="center" wrapText="1"/>
      <protection locked="0"/>
    </xf>
    <xf numFmtId="0" fontId="67" fillId="0" borderId="29" xfId="0" applyFont="1" applyBorder="1" applyAlignment="1" applyProtection="1">
      <alignment horizontal="center" vertical="center"/>
      <protection locked="0"/>
    </xf>
    <xf numFmtId="0" fontId="67" fillId="3" borderId="29" xfId="0" applyFont="1" applyFill="1" applyBorder="1" applyAlignment="1" applyProtection="1">
      <alignment horizontal="center" vertical="center" wrapText="1"/>
      <protection locked="0"/>
    </xf>
    <xf numFmtId="14" fontId="67" fillId="0" borderId="29" xfId="0" applyNumberFormat="1" applyFont="1" applyBorder="1" applyAlignment="1" applyProtection="1">
      <alignment horizontal="center" vertical="center" wrapText="1"/>
      <protection locked="0"/>
    </xf>
    <xf numFmtId="0" fontId="67" fillId="0" borderId="78" xfId="0" applyFont="1" applyBorder="1" applyAlignment="1">
      <alignment horizontal="center" vertical="top"/>
    </xf>
    <xf numFmtId="0" fontId="67" fillId="0" borderId="78" xfId="0" applyFont="1" applyBorder="1" applyAlignment="1">
      <alignment horizontal="center" vertical="center"/>
    </xf>
    <xf numFmtId="0" fontId="67" fillId="0" borderId="78" xfId="0" applyFont="1" applyBorder="1" applyAlignment="1" applyProtection="1">
      <alignment horizontal="center" vertical="center" wrapText="1"/>
      <protection locked="0"/>
    </xf>
    <xf numFmtId="0" fontId="57" fillId="0" borderId="78" xfId="0" applyFont="1" applyBorder="1" applyAlignment="1" applyProtection="1">
      <alignment horizontal="center" vertical="center" wrapText="1"/>
      <protection locked="0"/>
    </xf>
    <xf numFmtId="0" fontId="67" fillId="0" borderId="78" xfId="0" applyFont="1" applyBorder="1" applyAlignment="1" applyProtection="1">
      <alignment horizontal="center" vertical="center"/>
      <protection locked="0"/>
    </xf>
    <xf numFmtId="0" fontId="66" fillId="0" borderId="78" xfId="0" applyFont="1" applyBorder="1" applyAlignment="1" applyProtection="1">
      <alignment horizontal="center" vertical="center" wrapText="1"/>
      <protection hidden="1"/>
    </xf>
    <xf numFmtId="0" fontId="66" fillId="0" borderId="78" xfId="0" applyFont="1" applyBorder="1" applyAlignment="1" applyProtection="1">
      <alignment horizontal="center" vertical="center"/>
      <protection hidden="1"/>
    </xf>
    <xf numFmtId="0" fontId="1" fillId="0" borderId="29" xfId="0" applyFont="1" applyBorder="1"/>
    <xf numFmtId="164" fontId="67" fillId="3" borderId="29" xfId="1" applyNumberFormat="1" applyFont="1" applyFill="1" applyBorder="1" applyAlignment="1">
      <alignment horizontal="center" vertical="center"/>
    </xf>
    <xf numFmtId="14" fontId="0" fillId="3" borderId="29" xfId="0" applyNumberFormat="1" applyFill="1" applyBorder="1" applyAlignment="1">
      <alignment horizontal="center" vertical="center"/>
    </xf>
    <xf numFmtId="0" fontId="49" fillId="14" borderId="44" xfId="2" applyFont="1" applyFill="1" applyBorder="1" applyAlignment="1">
      <alignment horizontal="center" vertical="center" wrapText="1"/>
    </xf>
    <xf numFmtId="0" fontId="49" fillId="14" borderId="45" xfId="2" applyFont="1" applyFill="1" applyBorder="1" applyAlignment="1">
      <alignment horizontal="center" vertical="center" wrapText="1"/>
    </xf>
    <xf numFmtId="0" fontId="49" fillId="14" borderId="46" xfId="2" applyFont="1" applyFill="1" applyBorder="1" applyAlignment="1">
      <alignment horizontal="center" vertical="center" wrapText="1"/>
    </xf>
    <xf numFmtId="0" fontId="48" fillId="0" borderId="10"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11" xfId="2" quotePrefix="1" applyFont="1" applyBorder="1" applyAlignment="1">
      <alignment horizontal="left" vertical="center" wrapText="1"/>
    </xf>
    <xf numFmtId="0" fontId="48" fillId="0" borderId="64" xfId="2" quotePrefix="1" applyFont="1" applyBorder="1" applyAlignment="1">
      <alignment horizontal="left" vertical="center" wrapText="1"/>
    </xf>
    <xf numFmtId="0" fontId="48" fillId="0" borderId="65" xfId="2" quotePrefix="1" applyFont="1" applyBorder="1" applyAlignment="1">
      <alignment horizontal="left" vertical="center" wrapText="1"/>
    </xf>
    <xf numFmtId="0" fontId="48" fillId="0" borderId="66" xfId="2" quotePrefix="1" applyFont="1" applyBorder="1" applyAlignment="1">
      <alignment horizontal="left" vertical="center" wrapText="1"/>
    </xf>
    <xf numFmtId="0" fontId="50" fillId="3" borderId="47" xfId="2" quotePrefix="1" applyFont="1" applyFill="1" applyBorder="1" applyAlignment="1">
      <alignment horizontal="left" vertical="top" wrapText="1"/>
    </xf>
    <xf numFmtId="0" fontId="51" fillId="3" borderId="48" xfId="2" quotePrefix="1" applyFont="1" applyFill="1" applyBorder="1" applyAlignment="1">
      <alignment horizontal="left" vertical="top" wrapText="1"/>
    </xf>
    <xf numFmtId="0" fontId="51" fillId="3" borderId="49" xfId="2" quotePrefix="1" applyFont="1" applyFill="1" applyBorder="1" applyAlignment="1">
      <alignment horizontal="left" vertical="top" wrapText="1"/>
    </xf>
    <xf numFmtId="0" fontId="48" fillId="0" borderId="10"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11" xfId="2" quotePrefix="1" applyFont="1" applyBorder="1" applyAlignment="1">
      <alignment horizontal="left" vertical="top" wrapText="1"/>
    </xf>
    <xf numFmtId="0" fontId="53" fillId="14" borderId="50" xfId="3" applyFont="1" applyFill="1" applyBorder="1" applyAlignment="1">
      <alignment horizontal="center" vertical="center" wrapText="1"/>
    </xf>
    <xf numFmtId="0" fontId="53" fillId="14" borderId="51" xfId="3" applyFont="1" applyFill="1" applyBorder="1" applyAlignment="1">
      <alignment horizontal="center" vertical="center" wrapText="1"/>
    </xf>
    <xf numFmtId="0" fontId="53" fillId="14" borderId="52" xfId="2" applyFont="1" applyFill="1" applyBorder="1" applyAlignment="1">
      <alignment horizontal="center" vertical="center"/>
    </xf>
    <xf numFmtId="0" fontId="53" fillId="14" borderId="53" xfId="2" applyFont="1" applyFill="1" applyBorder="1" applyAlignment="1">
      <alignment horizontal="center" vertical="center"/>
    </xf>
    <xf numFmtId="0" fontId="2" fillId="3" borderId="64" xfId="2" quotePrefix="1" applyFont="1" applyFill="1" applyBorder="1" applyAlignment="1">
      <alignment horizontal="justify" vertical="center" wrapText="1"/>
    </xf>
    <xf numFmtId="0" fontId="2" fillId="3" borderId="65" xfId="2" quotePrefix="1" applyFont="1" applyFill="1" applyBorder="1" applyAlignment="1">
      <alignment horizontal="justify" vertical="center" wrapText="1"/>
    </xf>
    <xf numFmtId="0" fontId="2" fillId="3" borderId="66" xfId="2" quotePrefix="1" applyFont="1" applyFill="1" applyBorder="1" applyAlignment="1">
      <alignment horizontal="justify" vertical="center" wrapText="1"/>
    </xf>
    <xf numFmtId="0" fontId="53" fillId="3" borderId="54" xfId="3" applyFont="1" applyFill="1" applyBorder="1" applyAlignment="1">
      <alignment horizontal="left" vertical="top" wrapText="1" readingOrder="1"/>
    </xf>
    <xf numFmtId="0" fontId="53" fillId="3" borderId="55" xfId="3" applyFont="1" applyFill="1" applyBorder="1" applyAlignment="1">
      <alignment horizontal="left" vertical="top" wrapText="1" readingOrder="1"/>
    </xf>
    <xf numFmtId="0" fontId="54" fillId="3" borderId="56" xfId="2" applyFont="1" applyFill="1" applyBorder="1" applyAlignment="1">
      <alignment horizontal="justify" vertical="center" wrapText="1"/>
    </xf>
    <xf numFmtId="0" fontId="54" fillId="3" borderId="57" xfId="2" applyFont="1" applyFill="1" applyBorder="1" applyAlignment="1">
      <alignment horizontal="justify" vertical="center" wrapText="1"/>
    </xf>
    <xf numFmtId="0" fontId="53" fillId="3" borderId="58" xfId="0" applyFont="1" applyFill="1" applyBorder="1" applyAlignment="1">
      <alignment horizontal="left" vertical="center" wrapText="1"/>
    </xf>
    <xf numFmtId="0" fontId="53" fillId="3" borderId="59" xfId="0" applyFont="1" applyFill="1" applyBorder="1" applyAlignment="1">
      <alignment horizontal="left" vertical="center" wrapText="1"/>
    </xf>
    <xf numFmtId="0" fontId="54" fillId="3" borderId="60" xfId="2" applyFont="1" applyFill="1" applyBorder="1" applyAlignment="1">
      <alignment horizontal="justify" vertical="center" wrapText="1"/>
    </xf>
    <xf numFmtId="0" fontId="54" fillId="3" borderId="61" xfId="2" applyFont="1" applyFill="1" applyBorder="1" applyAlignment="1">
      <alignment horizontal="justify" vertical="center" wrapText="1"/>
    </xf>
    <xf numFmtId="0" fontId="48" fillId="3" borderId="10"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11" xfId="2" applyFont="1" applyFill="1" applyBorder="1" applyAlignment="1">
      <alignment horizontal="left" vertical="top" wrapText="1"/>
    </xf>
    <xf numFmtId="0" fontId="53" fillId="3" borderId="67" xfId="0" applyFont="1" applyFill="1" applyBorder="1" applyAlignment="1">
      <alignment horizontal="left" vertical="center" wrapText="1"/>
    </xf>
    <xf numFmtId="0" fontId="53" fillId="3" borderId="68" xfId="0" applyFont="1" applyFill="1" applyBorder="1" applyAlignment="1">
      <alignment horizontal="left" vertical="center" wrapText="1"/>
    </xf>
    <xf numFmtId="0" fontId="53" fillId="3" borderId="69" xfId="0" applyFont="1" applyFill="1" applyBorder="1" applyAlignment="1">
      <alignment horizontal="left" vertical="center" wrapText="1"/>
    </xf>
    <xf numFmtId="0" fontId="53" fillId="3" borderId="70" xfId="0" applyFont="1" applyFill="1" applyBorder="1" applyAlignment="1">
      <alignment horizontal="left" vertical="center" wrapText="1"/>
    </xf>
    <xf numFmtId="0" fontId="54" fillId="3" borderId="62" xfId="0" applyFont="1" applyFill="1" applyBorder="1" applyAlignment="1">
      <alignment horizontal="justify" vertical="center" wrapText="1"/>
    </xf>
    <xf numFmtId="0" fontId="54" fillId="3" borderId="63" xfId="0" applyFont="1" applyFill="1" applyBorder="1" applyAlignment="1">
      <alignment horizontal="justify" vertical="center" wrapText="1"/>
    </xf>
    <xf numFmtId="14" fontId="67" fillId="0" borderId="29" xfId="0" applyNumberFormat="1" applyFont="1" applyBorder="1" applyAlignment="1" applyProtection="1">
      <alignment horizontal="center" vertical="center" wrapText="1"/>
      <protection locked="0"/>
    </xf>
    <xf numFmtId="0" fontId="67" fillId="3" borderId="29" xfId="0" applyFont="1" applyFill="1" applyBorder="1" applyAlignment="1" applyProtection="1">
      <alignment horizontal="center" vertical="center" wrapText="1"/>
      <protection locked="0"/>
    </xf>
    <xf numFmtId="0" fontId="67" fillId="0" borderId="29" xfId="0" applyFont="1" applyBorder="1" applyAlignment="1" applyProtection="1">
      <alignment horizontal="center" vertical="center" wrapText="1"/>
      <protection locked="0"/>
    </xf>
    <xf numFmtId="0" fontId="66" fillId="2" borderId="29" xfId="0" applyFont="1" applyFill="1" applyBorder="1" applyAlignment="1">
      <alignment horizontal="center" vertical="center" wrapText="1"/>
    </xf>
    <xf numFmtId="9" fontId="67" fillId="0" borderId="78" xfId="0" applyNumberFormat="1" applyFont="1" applyBorder="1" applyAlignment="1" applyProtection="1">
      <alignment horizontal="center" vertical="top" wrapText="1"/>
      <protection locked="0"/>
    </xf>
    <xf numFmtId="9" fontId="67" fillId="0" borderId="79" xfId="0" applyNumberFormat="1" applyFont="1" applyBorder="1" applyAlignment="1" applyProtection="1">
      <alignment horizontal="center" vertical="top" wrapText="1"/>
      <protection locked="0"/>
    </xf>
    <xf numFmtId="9" fontId="67" fillId="0" borderId="30" xfId="0" applyNumberFormat="1" applyFont="1" applyBorder="1" applyAlignment="1" applyProtection="1">
      <alignment horizontal="center" vertical="top" wrapText="1"/>
      <protection locked="0"/>
    </xf>
    <xf numFmtId="0" fontId="67" fillId="0" borderId="29" xfId="0" applyFont="1" applyBorder="1" applyAlignment="1" applyProtection="1">
      <alignment horizontal="center" vertical="center"/>
      <protection hidden="1"/>
    </xf>
    <xf numFmtId="9" fontId="67" fillId="0" borderId="29" xfId="0" applyNumberFormat="1" applyFont="1" applyBorder="1" applyAlignment="1" applyProtection="1">
      <alignment horizontal="center" vertical="center" wrapText="1"/>
      <protection hidden="1"/>
    </xf>
    <xf numFmtId="9" fontId="67" fillId="0" borderId="29" xfId="0" applyNumberFormat="1" applyFont="1" applyBorder="1" applyAlignment="1" applyProtection="1">
      <alignment horizontal="center" vertical="center" wrapText="1"/>
      <protection locked="0"/>
    </xf>
    <xf numFmtId="0" fontId="66" fillId="2" borderId="29" xfId="0" applyFont="1" applyFill="1" applyBorder="1" applyAlignment="1">
      <alignment horizontal="center" vertical="center" textRotation="90" wrapText="1"/>
    </xf>
    <xf numFmtId="0" fontId="65" fillId="3" borderId="0" xfId="0" applyFont="1" applyFill="1" applyBorder="1" applyAlignment="1">
      <alignment horizontal="center" vertical="center" wrapText="1"/>
    </xf>
    <xf numFmtId="0" fontId="65" fillId="3" borderId="74" xfId="0" applyFont="1" applyFill="1" applyBorder="1" applyAlignment="1">
      <alignment horizontal="center" vertical="center" wrapText="1"/>
    </xf>
    <xf numFmtId="0" fontId="66" fillId="0" borderId="25" xfId="0" applyFont="1" applyBorder="1" applyAlignment="1">
      <alignment horizontal="center" vertical="center" wrapText="1"/>
    </xf>
    <xf numFmtId="0" fontId="66" fillId="0" borderId="0" xfId="0" applyFont="1" applyAlignment="1">
      <alignment horizontal="center" vertical="center" wrapText="1"/>
    </xf>
    <xf numFmtId="0" fontId="67" fillId="0" borderId="29" xfId="0" applyFont="1" applyBorder="1" applyAlignment="1">
      <alignment horizontal="center" vertical="center" wrapText="1"/>
    </xf>
    <xf numFmtId="0" fontId="67" fillId="0" borderId="29" xfId="0" applyFont="1" applyBorder="1" applyAlignment="1">
      <alignment horizontal="center" vertical="center"/>
    </xf>
    <xf numFmtId="0" fontId="67" fillId="3" borderId="29" xfId="0" applyFont="1" applyFill="1" applyBorder="1" applyAlignment="1">
      <alignment horizontal="center" vertical="center"/>
    </xf>
    <xf numFmtId="0" fontId="57" fillId="3" borderId="29" xfId="0" applyFont="1" applyFill="1" applyBorder="1" applyAlignment="1" applyProtection="1">
      <alignment horizontal="center" vertical="center" wrapText="1"/>
      <protection locked="0"/>
    </xf>
    <xf numFmtId="0" fontId="67" fillId="0" borderId="29" xfId="0" applyFont="1" applyBorder="1" applyAlignment="1" applyProtection="1">
      <alignment horizontal="center" vertical="center" wrapText="1"/>
      <protection hidden="1"/>
    </xf>
    <xf numFmtId="9" fontId="67" fillId="3" borderId="29" xfId="0" applyNumberFormat="1" applyFont="1" applyFill="1" applyBorder="1" applyAlignment="1" applyProtection="1">
      <alignment horizontal="center" vertical="center" wrapText="1"/>
      <protection hidden="1"/>
    </xf>
    <xf numFmtId="0" fontId="66" fillId="2" borderId="29" xfId="0" applyFont="1" applyFill="1" applyBorder="1" applyAlignment="1">
      <alignment horizontal="center" vertical="center"/>
    </xf>
    <xf numFmtId="0" fontId="59" fillId="3" borderId="72" xfId="0" applyFont="1" applyFill="1" applyBorder="1" applyAlignment="1" applyProtection="1">
      <alignment horizontal="center" wrapText="1"/>
      <protection locked="0"/>
    </xf>
    <xf numFmtId="0" fontId="59" fillId="3" borderId="73" xfId="0" applyFont="1" applyFill="1" applyBorder="1" applyAlignment="1" applyProtection="1">
      <alignment horizontal="center" wrapText="1"/>
      <protection locked="0"/>
    </xf>
    <xf numFmtId="14" fontId="59" fillId="3" borderId="29" xfId="0" applyNumberFormat="1" applyFont="1" applyFill="1" applyBorder="1" applyAlignment="1" applyProtection="1">
      <alignment horizontal="center" wrapText="1"/>
      <protection locked="0"/>
    </xf>
    <xf numFmtId="0" fontId="59" fillId="3" borderId="29" xfId="0" applyFont="1" applyFill="1" applyBorder="1" applyAlignment="1" applyProtection="1">
      <alignment horizontal="center" wrapText="1"/>
      <protection locked="0"/>
    </xf>
    <xf numFmtId="0" fontId="59" fillId="3" borderId="34" xfId="0" applyFont="1" applyFill="1" applyBorder="1" applyAlignment="1" applyProtection="1">
      <alignment horizontal="center" wrapText="1"/>
      <protection locked="0"/>
    </xf>
    <xf numFmtId="0" fontId="58" fillId="3" borderId="47" xfId="0" applyFont="1" applyFill="1" applyBorder="1" applyAlignment="1" applyProtection="1">
      <alignment horizontal="left" vertical="top" wrapText="1"/>
      <protection locked="0"/>
    </xf>
    <xf numFmtId="0" fontId="58" fillId="3" borderId="48" xfId="0" applyFont="1" applyFill="1" applyBorder="1" applyAlignment="1" applyProtection="1">
      <alignment horizontal="left" vertical="top"/>
      <protection locked="0"/>
    </xf>
    <xf numFmtId="0" fontId="58" fillId="3" borderId="49" xfId="0" applyFont="1" applyFill="1" applyBorder="1" applyAlignment="1" applyProtection="1">
      <alignment horizontal="left" vertical="top"/>
      <protection locked="0"/>
    </xf>
    <xf numFmtId="0" fontId="58" fillId="3" borderId="12" xfId="0" applyFont="1" applyFill="1" applyBorder="1" applyAlignment="1" applyProtection="1">
      <alignment horizontal="left" vertical="top"/>
      <protection locked="0"/>
    </xf>
    <xf numFmtId="0" fontId="58" fillId="3" borderId="14" xfId="0" applyFont="1" applyFill="1" applyBorder="1" applyAlignment="1" applyProtection="1">
      <alignment horizontal="left" vertical="top"/>
      <protection locked="0"/>
    </xf>
    <xf numFmtId="0" fontId="58" fillId="3" borderId="13" xfId="0" applyFont="1" applyFill="1" applyBorder="1" applyAlignment="1" applyProtection="1">
      <alignment horizontal="left" vertical="top"/>
      <protection locked="0"/>
    </xf>
    <xf numFmtId="0" fontId="67" fillId="0" borderId="29" xfId="0" applyFont="1" applyBorder="1" applyAlignment="1" applyProtection="1">
      <alignment horizontal="center" vertical="center"/>
      <protection locked="0"/>
    </xf>
    <xf numFmtId="0" fontId="24" fillId="2" borderId="75" xfId="0" applyFont="1" applyFill="1" applyBorder="1" applyAlignment="1">
      <alignment horizontal="left" vertical="center"/>
    </xf>
    <xf numFmtId="0" fontId="24" fillId="2" borderId="76" xfId="0" applyFont="1" applyFill="1" applyBorder="1" applyAlignment="1">
      <alignment horizontal="left" vertical="center"/>
    </xf>
    <xf numFmtId="0" fontId="7" fillId="3" borderId="24" xfId="0" applyFont="1" applyFill="1" applyBorder="1" applyAlignment="1" applyProtection="1">
      <alignment horizontal="left" vertical="center" wrapText="1"/>
      <protection locked="0"/>
    </xf>
    <xf numFmtId="0" fontId="7" fillId="3" borderId="25" xfId="0" applyFont="1" applyFill="1" applyBorder="1" applyAlignment="1" applyProtection="1">
      <alignment horizontal="left" vertical="center" wrapText="1"/>
      <protection locked="0"/>
    </xf>
    <xf numFmtId="0" fontId="7" fillId="3" borderId="26"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24" fillId="2" borderId="4" xfId="0" applyFont="1" applyFill="1" applyBorder="1" applyAlignment="1">
      <alignment horizontal="left" vertical="center"/>
    </xf>
    <xf numFmtId="0" fontId="24" fillId="2" borderId="5" xfId="0" applyFont="1" applyFill="1" applyBorder="1" applyAlignment="1">
      <alignment horizontal="left" vertical="center"/>
    </xf>
    <xf numFmtId="0" fontId="7" fillId="3" borderId="4" xfId="0" applyFont="1" applyFill="1" applyBorder="1" applyAlignment="1" applyProtection="1">
      <alignment horizontal="left" vertical="center"/>
      <protection locked="0"/>
    </xf>
    <xf numFmtId="0" fontId="7" fillId="3" borderId="6"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9" fontId="67" fillId="3" borderId="29" xfId="0" applyNumberFormat="1" applyFont="1" applyFill="1" applyBorder="1" applyAlignment="1" applyProtection="1">
      <alignment horizontal="center" vertical="center" wrapText="1"/>
      <protection locked="0"/>
    </xf>
    <xf numFmtId="9" fontId="67" fillId="16" borderId="29" xfId="0" applyNumberFormat="1" applyFont="1" applyFill="1" applyBorder="1" applyAlignment="1" applyProtection="1">
      <alignment horizontal="center" vertical="center" wrapText="1"/>
      <protection hidden="1"/>
    </xf>
    <xf numFmtId="0" fontId="67" fillId="16" borderId="29" xfId="0" applyFont="1" applyFill="1" applyBorder="1" applyAlignment="1" applyProtection="1">
      <alignment horizontal="center" vertical="center" wrapText="1"/>
      <protection hidden="1"/>
    </xf>
    <xf numFmtId="0" fontId="67" fillId="16" borderId="29" xfId="0" applyFont="1" applyFill="1" applyBorder="1" applyAlignment="1" applyProtection="1">
      <alignment horizontal="center" vertical="center"/>
      <protection hidden="1"/>
    </xf>
    <xf numFmtId="0" fontId="57" fillId="3" borderId="72" xfId="0" applyFont="1" applyFill="1" applyBorder="1" applyAlignment="1" applyProtection="1">
      <alignment horizontal="center" vertical="center" wrapText="1"/>
      <protection locked="0"/>
    </xf>
    <xf numFmtId="0" fontId="57" fillId="3" borderId="73" xfId="0" applyFont="1" applyFill="1" applyBorder="1" applyAlignment="1" applyProtection="1">
      <alignment horizontal="center" vertical="center" wrapText="1"/>
      <protection locked="0"/>
    </xf>
    <xf numFmtId="14" fontId="57" fillId="13" borderId="29" xfId="0" applyNumberFormat="1" applyFont="1" applyFill="1" applyBorder="1" applyAlignment="1" applyProtection="1">
      <alignment horizontal="center" vertical="center" wrapText="1"/>
      <protection locked="0"/>
    </xf>
    <xf numFmtId="0" fontId="57" fillId="13" borderId="29" xfId="0" applyFont="1" applyFill="1" applyBorder="1" applyAlignment="1" applyProtection="1">
      <alignment horizontal="center" vertical="center" wrapText="1"/>
      <protection locked="0"/>
    </xf>
    <xf numFmtId="0" fontId="57" fillId="13" borderId="34" xfId="0" applyFont="1" applyFill="1" applyBorder="1" applyAlignment="1" applyProtection="1">
      <alignment horizontal="center" vertical="center" wrapText="1"/>
      <protection locked="0"/>
    </xf>
    <xf numFmtId="0" fontId="64" fillId="13" borderId="47" xfId="0" applyFont="1" applyFill="1" applyBorder="1" applyAlignment="1" applyProtection="1">
      <alignment horizontal="center" vertical="center" wrapText="1"/>
      <protection locked="0"/>
    </xf>
    <xf numFmtId="0" fontId="64" fillId="13" borderId="48" xfId="0" applyFont="1" applyFill="1" applyBorder="1" applyAlignment="1" applyProtection="1">
      <alignment horizontal="center" vertical="center"/>
      <protection locked="0"/>
    </xf>
    <xf numFmtId="0" fontId="64" fillId="13" borderId="49" xfId="0" applyFont="1" applyFill="1" applyBorder="1" applyAlignment="1" applyProtection="1">
      <alignment horizontal="center" vertical="center"/>
      <protection locked="0"/>
    </xf>
    <xf numFmtId="0" fontId="64" fillId="13" borderId="12" xfId="0" applyFont="1" applyFill="1" applyBorder="1" applyAlignment="1" applyProtection="1">
      <alignment horizontal="center" vertical="center"/>
      <protection locked="0"/>
    </xf>
    <xf numFmtId="0" fontId="64" fillId="13" borderId="14" xfId="0" applyFont="1" applyFill="1" applyBorder="1" applyAlignment="1" applyProtection="1">
      <alignment horizontal="center" vertical="center"/>
      <protection locked="0"/>
    </xf>
    <xf numFmtId="0" fontId="64" fillId="13" borderId="13" xfId="0" applyFont="1" applyFill="1" applyBorder="1" applyAlignment="1" applyProtection="1">
      <alignment horizontal="center" vertical="center"/>
      <protection locked="0"/>
    </xf>
    <xf numFmtId="0" fontId="67" fillId="3" borderId="29" xfId="0" applyFont="1" applyFill="1" applyBorder="1" applyAlignment="1" applyProtection="1">
      <alignment horizontal="center" vertical="center"/>
      <protection locked="0"/>
    </xf>
    <xf numFmtId="0" fontId="67" fillId="0" borderId="2" xfId="0" applyFont="1" applyBorder="1" applyAlignment="1">
      <alignment horizontal="left" vertical="center" wrapText="1"/>
    </xf>
    <xf numFmtId="0" fontId="67" fillId="0" borderId="27" xfId="0" applyFont="1" applyBorder="1" applyAlignment="1">
      <alignment horizontal="left" vertical="center" wrapText="1"/>
    </xf>
    <xf numFmtId="0" fontId="67" fillId="0" borderId="28" xfId="0" applyFont="1" applyBorder="1" applyAlignment="1">
      <alignment horizontal="left" vertical="center" wrapText="1"/>
    </xf>
    <xf numFmtId="0" fontId="67" fillId="0" borderId="29" xfId="0" applyFont="1" applyBorder="1" applyAlignment="1" applyProtection="1">
      <alignment horizontal="center" vertical="center"/>
    </xf>
    <xf numFmtId="0" fontId="67" fillId="0" borderId="29" xfId="0" applyFont="1" applyFill="1" applyBorder="1" applyAlignment="1" applyProtection="1">
      <alignment horizontal="center" vertical="center" wrapText="1"/>
      <protection locked="0"/>
    </xf>
    <xf numFmtId="0" fontId="67" fillId="0" borderId="78" xfId="0" applyFont="1" applyFill="1" applyBorder="1" applyAlignment="1" applyProtection="1">
      <alignment horizontal="center" vertical="center" wrapText="1"/>
      <protection locked="0"/>
    </xf>
    <xf numFmtId="0" fontId="67" fillId="0" borderId="79" xfId="0" applyFont="1" applyFill="1" applyBorder="1" applyAlignment="1" applyProtection="1">
      <alignment horizontal="center" vertical="center" wrapText="1"/>
      <protection locked="0"/>
    </xf>
    <xf numFmtId="0" fontId="67" fillId="0" borderId="30" xfId="0" applyFont="1" applyFill="1" applyBorder="1" applyAlignment="1" applyProtection="1">
      <alignment horizontal="center" vertical="center" wrapText="1"/>
      <protection locked="0"/>
    </xf>
    <xf numFmtId="0" fontId="57" fillId="0" borderId="78" xfId="0" applyFont="1" applyFill="1" applyBorder="1" applyAlignment="1" applyProtection="1">
      <alignment horizontal="center" vertical="center" wrapText="1"/>
      <protection locked="0"/>
    </xf>
    <xf numFmtId="0" fontId="57" fillId="0" borderId="79" xfId="0" applyFont="1" applyFill="1" applyBorder="1" applyAlignment="1" applyProtection="1">
      <alignment horizontal="center" vertical="center" wrapText="1"/>
      <protection locked="0"/>
    </xf>
    <xf numFmtId="0" fontId="57" fillId="0" borderId="30" xfId="0" applyFont="1" applyFill="1" applyBorder="1" applyAlignment="1" applyProtection="1">
      <alignment horizontal="center" vertical="center" wrapText="1"/>
      <protection locked="0"/>
    </xf>
    <xf numFmtId="0" fontId="67" fillId="0" borderId="78" xfId="0" applyFont="1" applyFill="1" applyBorder="1" applyAlignment="1" applyProtection="1">
      <alignment horizontal="center" vertical="center"/>
      <protection locked="0"/>
    </xf>
    <xf numFmtId="0" fontId="67" fillId="0" borderId="79" xfId="0" applyFont="1" applyFill="1" applyBorder="1" applyAlignment="1" applyProtection="1">
      <alignment horizontal="center" vertical="center"/>
      <protection locked="0"/>
    </xf>
    <xf numFmtId="0" fontId="67" fillId="0" borderId="30" xfId="0" applyFont="1" applyFill="1" applyBorder="1" applyAlignment="1" applyProtection="1">
      <alignment horizontal="center" vertical="center"/>
      <protection locked="0"/>
    </xf>
    <xf numFmtId="9" fontId="67" fillId="0" borderId="78" xfId="0" applyNumberFormat="1" applyFont="1" applyBorder="1" applyAlignment="1" applyProtection="1">
      <alignment horizontal="center" vertical="center" wrapText="1"/>
      <protection hidden="1"/>
    </xf>
    <xf numFmtId="9" fontId="67" fillId="0" borderId="79" xfId="0" applyNumberFormat="1" applyFont="1" applyBorder="1" applyAlignment="1" applyProtection="1">
      <alignment horizontal="center" vertical="center" wrapText="1"/>
      <protection hidden="1"/>
    </xf>
    <xf numFmtId="9" fontId="67" fillId="0" borderId="30" xfId="0" applyNumberFormat="1" applyFont="1" applyBorder="1" applyAlignment="1" applyProtection="1">
      <alignment horizontal="center" vertical="center" wrapText="1"/>
      <protection hidden="1"/>
    </xf>
    <xf numFmtId="9" fontId="67" fillId="0" borderId="78" xfId="0" applyNumberFormat="1" applyFont="1" applyBorder="1" applyAlignment="1" applyProtection="1">
      <alignment horizontal="center" vertical="center" wrapText="1"/>
      <protection locked="0"/>
    </xf>
    <xf numFmtId="9" fontId="67" fillId="0" borderId="79" xfId="0" applyNumberFormat="1" applyFont="1" applyBorder="1" applyAlignment="1" applyProtection="1">
      <alignment horizontal="center" vertical="center" wrapText="1"/>
      <protection locked="0"/>
    </xf>
    <xf numFmtId="9" fontId="67" fillId="0" borderId="30" xfId="0" applyNumberFormat="1" applyFont="1" applyBorder="1" applyAlignment="1" applyProtection="1">
      <alignment horizontal="center" vertical="center" wrapText="1"/>
      <protection locked="0"/>
    </xf>
    <xf numFmtId="0" fontId="66" fillId="0" borderId="29" xfId="0" applyFont="1" applyBorder="1" applyAlignment="1" applyProtection="1">
      <alignment horizontal="center" vertical="top" wrapText="1"/>
      <protection hidden="1"/>
    </xf>
    <xf numFmtId="9" fontId="67" fillId="0" borderId="29" xfId="0" applyNumberFormat="1" applyFont="1" applyBorder="1" applyAlignment="1" applyProtection="1">
      <alignment horizontal="center" vertical="top" wrapText="1"/>
      <protection hidden="1"/>
    </xf>
    <xf numFmtId="0" fontId="66" fillId="0" borderId="29" xfId="0" applyFont="1" applyBorder="1" applyAlignment="1" applyProtection="1">
      <alignment horizontal="center" vertical="top"/>
      <protection hidden="1"/>
    </xf>
    <xf numFmtId="0" fontId="67" fillId="0" borderId="29" xfId="0" applyFont="1" applyBorder="1" applyAlignment="1">
      <alignment horizontal="center" vertical="top"/>
    </xf>
    <xf numFmtId="0" fontId="67" fillId="0" borderId="29" xfId="0" applyFont="1" applyBorder="1" applyAlignment="1" applyProtection="1">
      <alignment horizontal="center" vertical="top" wrapText="1"/>
      <protection locked="0"/>
    </xf>
    <xf numFmtId="0" fontId="57" fillId="0" borderId="29" xfId="0" applyFont="1" applyBorder="1" applyAlignment="1" applyProtection="1">
      <alignment horizontal="center" vertical="top" wrapText="1"/>
      <protection locked="0"/>
    </xf>
    <xf numFmtId="0" fontId="67" fillId="0" borderId="29" xfId="0" applyFont="1" applyBorder="1" applyAlignment="1" applyProtection="1">
      <alignment horizontal="center" vertical="top"/>
      <protection locked="0"/>
    </xf>
    <xf numFmtId="0" fontId="66" fillId="3" borderId="29" xfId="0" applyFont="1" applyFill="1" applyBorder="1" applyAlignment="1" applyProtection="1">
      <alignment horizontal="center" vertical="top" wrapText="1"/>
      <protection hidden="1"/>
    </xf>
    <xf numFmtId="9" fontId="67" fillId="0" borderId="29" xfId="0" applyNumberFormat="1" applyFont="1" applyBorder="1" applyAlignment="1" applyProtection="1">
      <alignment horizontal="center" vertical="top" wrapText="1"/>
      <protection locked="0"/>
    </xf>
    <xf numFmtId="0" fontId="1" fillId="2" borderId="29" xfId="0" applyFont="1" applyFill="1" applyBorder="1" applyAlignment="1">
      <alignment horizontal="center" vertical="center" wrapText="1"/>
    </xf>
    <xf numFmtId="0" fontId="66" fillId="2" borderId="29" xfId="0" applyFont="1" applyFill="1" applyBorder="1" applyAlignment="1">
      <alignment horizontal="center" vertical="center" textRotation="90"/>
    </xf>
    <xf numFmtId="0" fontId="67" fillId="3" borderId="78" xfId="0" applyFont="1" applyFill="1" applyBorder="1" applyAlignment="1" applyProtection="1">
      <alignment horizontal="center" vertical="center" wrapText="1"/>
      <protection locked="0"/>
    </xf>
    <xf numFmtId="0" fontId="67" fillId="3" borderId="30" xfId="0" applyFont="1" applyFill="1" applyBorder="1" applyAlignment="1" applyProtection="1">
      <alignment horizontal="center" vertical="center" wrapText="1"/>
      <protection locked="0"/>
    </xf>
    <xf numFmtId="0" fontId="67" fillId="3" borderId="79" xfId="0" applyFont="1" applyFill="1" applyBorder="1" applyAlignment="1" applyProtection="1">
      <alignment horizontal="center" vertical="center" wrapText="1"/>
      <protection locked="0"/>
    </xf>
    <xf numFmtId="0" fontId="25" fillId="0" borderId="0" xfId="0" applyFont="1" applyAlignment="1">
      <alignment horizontal="center" vertical="center" wrapText="1"/>
    </xf>
    <xf numFmtId="0" fontId="20" fillId="5" borderId="10"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8" xfId="0" applyFont="1" applyBorder="1" applyAlignment="1">
      <alignment horizontal="center" vertical="center" wrapText="1"/>
    </xf>
    <xf numFmtId="0" fontId="17" fillId="0" borderId="15"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0" xfId="0" applyFont="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4" xfId="0" applyFont="1" applyBorder="1" applyAlignment="1">
      <alignment horizontal="center"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11" xfId="0" applyFont="1" applyFill="1" applyBorder="1" applyAlignment="1">
      <alignment horizontal="center" vertical="center" textRotation="90"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42" fillId="0" borderId="8" xfId="0" applyFont="1" applyBorder="1" applyAlignment="1">
      <alignment horizontal="center" vertical="center" wrapText="1"/>
    </xf>
    <xf numFmtId="0" fontId="42" fillId="0" borderId="15" xfId="0" applyFont="1" applyBorder="1" applyAlignment="1">
      <alignment horizontal="center" vertical="center"/>
    </xf>
    <xf numFmtId="0" fontId="42" fillId="0" borderId="9" xfId="0" applyFont="1" applyBorder="1" applyAlignment="1">
      <alignment horizontal="center" vertical="center"/>
    </xf>
    <xf numFmtId="0" fontId="42" fillId="0" borderId="10" xfId="0" applyFont="1" applyBorder="1" applyAlignment="1">
      <alignment horizontal="center" vertical="center"/>
    </xf>
    <xf numFmtId="0" fontId="42" fillId="0" borderId="0" xfId="0" applyFont="1" applyAlignment="1">
      <alignment horizontal="center" vertical="center"/>
    </xf>
    <xf numFmtId="0" fontId="42" fillId="0" borderId="11" xfId="0" applyFont="1" applyBorder="1" applyAlignment="1">
      <alignment horizontal="center" vertical="center"/>
    </xf>
    <xf numFmtId="0" fontId="42" fillId="0" borderId="12" xfId="0" applyFont="1" applyBorder="1" applyAlignment="1">
      <alignment horizontal="center" vertical="center"/>
    </xf>
    <xf numFmtId="0" fontId="42" fillId="0" borderId="14" xfId="0" applyFont="1" applyBorder="1" applyAlignment="1">
      <alignment horizontal="center" vertical="center"/>
    </xf>
    <xf numFmtId="0" fontId="42" fillId="0" borderId="13" xfId="0" applyFont="1" applyBorder="1" applyAlignment="1">
      <alignment horizontal="center" vertical="center"/>
    </xf>
    <xf numFmtId="0" fontId="42" fillId="0" borderId="15" xfId="0" applyFont="1" applyBorder="1" applyAlignment="1">
      <alignment horizontal="center" vertical="center" wrapText="1"/>
    </xf>
    <xf numFmtId="0" fontId="41" fillId="11" borderId="16" xfId="0" applyFont="1" applyFill="1" applyBorder="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1" fillId="11" borderId="19"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20" xfId="0" applyFont="1" applyFill="1" applyBorder="1" applyAlignment="1">
      <alignment horizontal="center" vertical="center" wrapText="1" readingOrder="1"/>
    </xf>
    <xf numFmtId="0" fontId="41" fillId="11" borderId="21" xfId="0" applyFont="1" applyFill="1" applyBorder="1" applyAlignment="1">
      <alignment horizontal="center" vertical="center" wrapText="1" readingOrder="1"/>
    </xf>
    <xf numFmtId="0" fontId="41" fillId="11" borderId="22" xfId="0" applyFont="1" applyFill="1" applyBorder="1" applyAlignment="1">
      <alignment horizontal="center" vertical="center" wrapText="1" readingOrder="1"/>
    </xf>
    <xf numFmtId="0" fontId="41" fillId="11" borderId="23" xfId="0" applyFont="1" applyFill="1" applyBorder="1" applyAlignment="1">
      <alignment horizontal="center" vertical="center" wrapText="1" readingOrder="1"/>
    </xf>
    <xf numFmtId="0" fontId="42" fillId="0" borderId="10" xfId="0" applyFont="1" applyBorder="1" applyAlignment="1">
      <alignment horizontal="center" vertical="center" wrapText="1"/>
    </xf>
    <xf numFmtId="0" fontId="41" fillId="12" borderId="16" xfId="0" applyFont="1" applyFill="1" applyBorder="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1" fillId="12" borderId="19"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20" xfId="0" applyFont="1" applyFill="1" applyBorder="1" applyAlignment="1">
      <alignment horizontal="center" vertical="center" wrapText="1" readingOrder="1"/>
    </xf>
    <xf numFmtId="0" fontId="41" fillId="12" borderId="21" xfId="0" applyFont="1" applyFill="1" applyBorder="1" applyAlignment="1">
      <alignment horizontal="center" vertical="center" wrapText="1" readingOrder="1"/>
    </xf>
    <xf numFmtId="0" fontId="41" fillId="12" borderId="22" xfId="0" applyFont="1" applyFill="1" applyBorder="1" applyAlignment="1">
      <alignment horizontal="center" vertical="center" wrapText="1" readingOrder="1"/>
    </xf>
    <xf numFmtId="0" fontId="41" fillId="12" borderId="23"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1" fillId="5" borderId="16" xfId="0" applyFont="1" applyFill="1" applyBorder="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5" borderId="19"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20" xfId="0" applyFont="1" applyFill="1" applyBorder="1" applyAlignment="1">
      <alignment horizontal="center" vertical="center" wrapText="1" readingOrder="1"/>
    </xf>
    <xf numFmtId="0" fontId="41" fillId="5" borderId="21" xfId="0" applyFont="1" applyFill="1" applyBorder="1" applyAlignment="1">
      <alignment horizontal="center" vertical="center" wrapText="1" readingOrder="1"/>
    </xf>
    <xf numFmtId="0" fontId="41" fillId="5" borderId="22" xfId="0" applyFont="1" applyFill="1" applyBorder="1" applyAlignment="1">
      <alignment horizontal="center" vertical="center" wrapText="1" readingOrder="1"/>
    </xf>
    <xf numFmtId="0" fontId="41" fillId="5" borderId="23"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17"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1" fillId="13" borderId="19"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20" xfId="0" applyFont="1" applyFill="1" applyBorder="1" applyAlignment="1">
      <alignment horizontal="center" vertical="center" wrapText="1" readingOrder="1"/>
    </xf>
    <xf numFmtId="0" fontId="41" fillId="13" borderId="21" xfId="0" applyFont="1" applyFill="1" applyBorder="1" applyAlignment="1">
      <alignment horizontal="center" vertical="center" wrapText="1" readingOrder="1"/>
    </xf>
    <xf numFmtId="0" fontId="41" fillId="13" borderId="22" xfId="0" applyFont="1" applyFill="1" applyBorder="1" applyAlignment="1">
      <alignment horizontal="center" vertical="center" wrapText="1" readingOrder="1"/>
    </xf>
    <xf numFmtId="0" fontId="41" fillId="13" borderId="23" xfId="0" applyFont="1" applyFill="1" applyBorder="1" applyAlignment="1">
      <alignment horizontal="center" vertical="center" wrapText="1" readingOrder="1"/>
    </xf>
    <xf numFmtId="0" fontId="24" fillId="0" borderId="0" xfId="0" applyFont="1" applyAlignment="1">
      <alignment horizontal="center" vertical="center"/>
    </xf>
    <xf numFmtId="0" fontId="44" fillId="0" borderId="0" xfId="0" applyFont="1" applyAlignment="1">
      <alignment horizontal="center" vertical="center"/>
    </xf>
    <xf numFmtId="0" fontId="39" fillId="15" borderId="31" xfId="0" applyFont="1" applyFill="1" applyBorder="1" applyAlignment="1">
      <alignment horizontal="center" vertical="center" wrapText="1" readingOrder="1"/>
    </xf>
    <xf numFmtId="0" fontId="39" fillId="15" borderId="32" xfId="0" applyFont="1" applyFill="1" applyBorder="1" applyAlignment="1">
      <alignment horizontal="center" vertical="center" wrapText="1" readingOrder="1"/>
    </xf>
    <xf numFmtId="0" fontId="39" fillId="15" borderId="43"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40" xfId="0" applyFont="1" applyFill="1" applyBorder="1" applyAlignment="1">
      <alignment horizontal="center" vertical="center" wrapText="1" readingOrder="1"/>
    </xf>
    <xf numFmtId="0" fontId="36" fillId="15" borderId="41" xfId="0" applyFont="1" applyFill="1" applyBorder="1" applyAlignment="1">
      <alignment horizontal="center" vertical="center" wrapText="1" readingOrder="1"/>
    </xf>
    <xf numFmtId="0" fontId="36" fillId="3" borderId="38" xfId="0"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6" fillId="3" borderId="30" xfId="0" applyFont="1" applyFill="1" applyBorder="1" applyAlignment="1">
      <alignment horizontal="center" vertical="center" wrapText="1" readingOrder="1"/>
    </xf>
    <xf numFmtId="0" fontId="36" fillId="3" borderId="29" xfId="0" applyFont="1" applyFill="1" applyBorder="1" applyAlignment="1">
      <alignment horizontal="center" vertical="center" wrapText="1" readingOrder="1"/>
    </xf>
    <xf numFmtId="0" fontId="36" fillId="3" borderId="35" xfId="0" applyFont="1" applyFill="1" applyBorder="1" applyAlignment="1">
      <alignment horizontal="center" vertical="center" wrapText="1" readingOrder="1"/>
    </xf>
    <xf numFmtId="0" fontId="36" fillId="3" borderId="36" xfId="0" applyFont="1" applyFill="1" applyBorder="1" applyAlignment="1">
      <alignment horizontal="center" vertical="center" wrapText="1" readingOrder="1"/>
    </xf>
  </cellXfs>
  <cellStyles count="7">
    <cellStyle name="Excel Built-in Normal" xfId="6" xr:uid="{00000000-0005-0000-0000-000000000000}"/>
    <cellStyle name="Excel Built-in Normal 1" xfId="5" xr:uid="{00000000-0005-0000-0000-000001000000}"/>
    <cellStyle name="Normal" xfId="0" builtinId="0"/>
    <cellStyle name="Normal - Style1 2" xfId="2" xr:uid="{00000000-0005-0000-0000-000003000000}"/>
    <cellStyle name="Normal 2" xfId="4" xr:uid="{00000000-0005-0000-0000-000004000000}"/>
    <cellStyle name="Normal 2 2" xfId="3" xr:uid="{00000000-0005-0000-0000-000005000000}"/>
    <cellStyle name="Porcentaje" xfId="1" builtinId="5"/>
  </cellStyles>
  <dxfs count="688">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CB81F8"/>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578011</xdr:colOff>
      <xdr:row>103</xdr:row>
      <xdr:rowOff>1524002</xdr:rowOff>
    </xdr:from>
    <xdr:to>
      <xdr:col>11</xdr:col>
      <xdr:colOff>1295982</xdr:colOff>
      <xdr:row>108</xdr:row>
      <xdr:rowOff>199875</xdr:rowOff>
    </xdr:to>
    <xdr:pic>
      <xdr:nvPicPr>
        <xdr:cNvPr id="3" name="Imagen 2">
          <a:extLst>
            <a:ext uri="{FF2B5EF4-FFF2-40B4-BE49-F238E27FC236}">
              <a16:creationId xmlns:a16="http://schemas.microsoft.com/office/drawing/2014/main" id="{1C489ABE-7E1B-4A83-AD22-452D3D8CD0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4886" y="105918002"/>
          <a:ext cx="12156477" cy="11047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mable%20ok\MAPA%20DE%20RIESGO%20CORRUPC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LUISA%20FERNANA\Downloads\MAPA%20DE%20RIESGO%20TECNIC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UISA%20FERNANA/Downloads/MAPA%20ADMINISTRATIV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UISA%20FERNANA/Downloads/MAPA%20RIESGO%20CO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LUISA%20FERNANA\Downloads\MATRIZ%20control%20interno%20CORRUPC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UISA%20FERNANA/Downloads/MAPA%20RIESGO%20AMBIENTAL,%20SOC1AL%20Y%20S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AMABLE\SEG.%20SST%20SOC%20Y%20AMB%20OK\MAPA%20RIESGO%20AMBIENTAL,%20SOC1AL%20Y%20SSTCORRU.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UISA%20FERNANA/Downloads/MAPA%20ET.L.F.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LUISA%20FERNANA/Downloads/Matriz%20de%20Riesgo%20Gestion%20Planeacio&#769;n%20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sers\LUISA%20FERNANA\Downloads\Matriz%20de%20Riesgo%20corrupcio&#769;n%20Planeacio&#769;n%20202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xlFile://Root/CurrentDir/SEG.%20SST%20SOC%20Y%20AMB%20OK/MAPA%20RIESGO%20AMBIENTAL,%20SOC1AL%20Y%20SSTCORRU.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Users/Natalia/Downloads/MAPA%20RIESGO%20AMABLE%202021%20ULTIMO%20JURID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Tabla probabilidad"/>
      <sheetName val="Tabla Impacto"/>
      <sheetName val="Tabla Valoración controles"/>
      <sheetName val="Opciones Tratamiento"/>
      <sheetName val="Hoja1"/>
    </sheetNames>
    <sheetDataSet>
      <sheetData sheetId="0"/>
      <sheetData sheetId="1"/>
      <sheetData sheetId="2"/>
      <sheetData sheetId="3">
        <row r="11">
          <cell r="C11" t="str">
            <v xml:space="preserve">     Afectación menor a 10 SMLMV .</v>
          </cell>
        </row>
        <row r="221">
          <cell r="B221" t="e">
            <v>#NAME?</v>
          </cell>
        </row>
        <row r="222">
          <cell r="B222" t="e">
            <v>#NAME?</v>
          </cell>
        </row>
        <row r="223">
          <cell r="B223" t="e">
            <v>#NAME?</v>
          </cell>
          <cell r="F223" t="str">
            <v>❌</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3">
          <cell r="F223" t="str">
            <v>❌</v>
          </cell>
        </row>
      </sheetData>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v>0</v>
          </cell>
        </row>
        <row r="223">
          <cell r="B223">
            <v>0</v>
          </cell>
          <cell r="F223" t="str">
            <v>❌</v>
          </cell>
        </row>
      </sheetData>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Impacto"/>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3" zoomScale="140" zoomScaleNormal="140" zoomScalePageLayoutView="110" workbookViewId="0">
      <selection activeCell="C23" sqref="C23:D23"/>
    </sheetView>
  </sheetViews>
  <sheetFormatPr baseColWidth="10" defaultColWidth="10.7109375" defaultRowHeight="15" x14ac:dyDescent="0.25"/>
  <cols>
    <col min="1" max="1" width="2.7109375" style="76" customWidth="1"/>
    <col min="2" max="3" width="24.7109375" style="76" customWidth="1"/>
    <col min="4" max="4" width="16" style="76" customWidth="1"/>
    <col min="5" max="5" width="24.7109375" style="76" customWidth="1"/>
    <col min="6" max="6" width="27.7109375" style="76" customWidth="1"/>
    <col min="7" max="8" width="24.7109375" style="76" customWidth="1"/>
    <col min="9" max="16384" width="10.7109375" style="76"/>
  </cols>
  <sheetData>
    <row r="1" spans="2:8" ht="15.75" thickBot="1" x14ac:dyDescent="0.3"/>
    <row r="2" spans="2:8" ht="18" x14ac:dyDescent="0.25">
      <c r="B2" s="263" t="s">
        <v>161</v>
      </c>
      <c r="C2" s="264"/>
      <c r="D2" s="264"/>
      <c r="E2" s="264"/>
      <c r="F2" s="264"/>
      <c r="G2" s="264"/>
      <c r="H2" s="265"/>
    </row>
    <row r="3" spans="2:8" x14ac:dyDescent="0.25">
      <c r="B3" s="77"/>
      <c r="C3" s="78"/>
      <c r="D3" s="78"/>
      <c r="E3" s="78"/>
      <c r="F3" s="78"/>
      <c r="G3" s="78"/>
      <c r="H3" s="79"/>
    </row>
    <row r="4" spans="2:8" ht="63" customHeight="1" x14ac:dyDescent="0.25">
      <c r="B4" s="266" t="s">
        <v>204</v>
      </c>
      <c r="C4" s="267"/>
      <c r="D4" s="267"/>
      <c r="E4" s="267"/>
      <c r="F4" s="267"/>
      <c r="G4" s="267"/>
      <c r="H4" s="268"/>
    </row>
    <row r="5" spans="2:8" ht="63" customHeight="1" x14ac:dyDescent="0.25">
      <c r="B5" s="269"/>
      <c r="C5" s="270"/>
      <c r="D5" s="270"/>
      <c r="E5" s="270"/>
      <c r="F5" s="270"/>
      <c r="G5" s="270"/>
      <c r="H5" s="271"/>
    </row>
    <row r="6" spans="2:8" ht="16.5" x14ac:dyDescent="0.25">
      <c r="B6" s="272" t="s">
        <v>159</v>
      </c>
      <c r="C6" s="273"/>
      <c r="D6" s="273"/>
      <c r="E6" s="273"/>
      <c r="F6" s="273"/>
      <c r="G6" s="273"/>
      <c r="H6" s="274"/>
    </row>
    <row r="7" spans="2:8" ht="95.25" customHeight="1" x14ac:dyDescent="0.25">
      <c r="B7" s="282" t="s">
        <v>164</v>
      </c>
      <c r="C7" s="283"/>
      <c r="D7" s="283"/>
      <c r="E7" s="283"/>
      <c r="F7" s="283"/>
      <c r="G7" s="283"/>
      <c r="H7" s="284"/>
    </row>
    <row r="8" spans="2:8" ht="16.5" x14ac:dyDescent="0.25">
      <c r="B8" s="113"/>
      <c r="C8" s="114"/>
      <c r="D8" s="114"/>
      <c r="E8" s="114"/>
      <c r="F8" s="114"/>
      <c r="G8" s="114"/>
      <c r="H8" s="115"/>
    </row>
    <row r="9" spans="2:8" ht="16.5" customHeight="1" x14ac:dyDescent="0.25">
      <c r="B9" s="275" t="s">
        <v>197</v>
      </c>
      <c r="C9" s="276"/>
      <c r="D9" s="276"/>
      <c r="E9" s="276"/>
      <c r="F9" s="276"/>
      <c r="G9" s="276"/>
      <c r="H9" s="277"/>
    </row>
    <row r="10" spans="2:8" ht="44.25" customHeight="1" x14ac:dyDescent="0.25">
      <c r="B10" s="275"/>
      <c r="C10" s="276"/>
      <c r="D10" s="276"/>
      <c r="E10" s="276"/>
      <c r="F10" s="276"/>
      <c r="G10" s="276"/>
      <c r="H10" s="277"/>
    </row>
    <row r="11" spans="2:8" ht="15.75" thickBot="1" x14ac:dyDescent="0.3">
      <c r="B11" s="102"/>
      <c r="C11" s="105"/>
      <c r="D11" s="110"/>
      <c r="E11" s="111"/>
      <c r="F11" s="111"/>
      <c r="G11" s="112"/>
      <c r="H11" s="106"/>
    </row>
    <row r="12" spans="2:8" ht="15.75" thickTop="1" x14ac:dyDescent="0.25">
      <c r="B12" s="102"/>
      <c r="C12" s="278" t="s">
        <v>160</v>
      </c>
      <c r="D12" s="279"/>
      <c r="E12" s="280" t="s">
        <v>198</v>
      </c>
      <c r="F12" s="281"/>
      <c r="G12" s="105"/>
      <c r="H12" s="106"/>
    </row>
    <row r="13" spans="2:8" ht="35.25" customHeight="1" x14ac:dyDescent="0.25">
      <c r="B13" s="102"/>
      <c r="C13" s="285" t="s">
        <v>191</v>
      </c>
      <c r="D13" s="286"/>
      <c r="E13" s="287" t="s">
        <v>196</v>
      </c>
      <c r="F13" s="288"/>
      <c r="G13" s="105"/>
      <c r="H13" s="106"/>
    </row>
    <row r="14" spans="2:8" ht="17.25" customHeight="1" x14ac:dyDescent="0.25">
      <c r="B14" s="102"/>
      <c r="C14" s="285" t="s">
        <v>192</v>
      </c>
      <c r="D14" s="286"/>
      <c r="E14" s="287" t="s">
        <v>194</v>
      </c>
      <c r="F14" s="288"/>
      <c r="G14" s="105"/>
      <c r="H14" s="106"/>
    </row>
    <row r="15" spans="2:8" ht="19.5" customHeight="1" x14ac:dyDescent="0.25">
      <c r="B15" s="102"/>
      <c r="C15" s="285" t="s">
        <v>193</v>
      </c>
      <c r="D15" s="286"/>
      <c r="E15" s="287" t="s">
        <v>195</v>
      </c>
      <c r="F15" s="288"/>
      <c r="G15" s="105"/>
      <c r="H15" s="106"/>
    </row>
    <row r="16" spans="2:8" ht="69.75" customHeight="1" x14ac:dyDescent="0.25">
      <c r="B16" s="102"/>
      <c r="C16" s="285" t="s">
        <v>162</v>
      </c>
      <c r="D16" s="286"/>
      <c r="E16" s="287" t="s">
        <v>163</v>
      </c>
      <c r="F16" s="288"/>
      <c r="G16" s="105"/>
      <c r="H16" s="106"/>
    </row>
    <row r="17" spans="2:8" ht="34.5" customHeight="1" x14ac:dyDescent="0.25">
      <c r="B17" s="102"/>
      <c r="C17" s="289" t="s">
        <v>2</v>
      </c>
      <c r="D17" s="290"/>
      <c r="E17" s="291" t="s">
        <v>205</v>
      </c>
      <c r="F17" s="292"/>
      <c r="G17" s="105"/>
      <c r="H17" s="106"/>
    </row>
    <row r="18" spans="2:8" ht="27.75" customHeight="1" x14ac:dyDescent="0.25">
      <c r="B18" s="102"/>
      <c r="C18" s="289" t="s">
        <v>3</v>
      </c>
      <c r="D18" s="290"/>
      <c r="E18" s="291" t="s">
        <v>206</v>
      </c>
      <c r="F18" s="292"/>
      <c r="G18" s="105"/>
      <c r="H18" s="106"/>
    </row>
    <row r="19" spans="2:8" ht="28.5" customHeight="1" x14ac:dyDescent="0.25">
      <c r="B19" s="102"/>
      <c r="C19" s="289" t="s">
        <v>42</v>
      </c>
      <c r="D19" s="290"/>
      <c r="E19" s="291" t="s">
        <v>207</v>
      </c>
      <c r="F19" s="292"/>
      <c r="G19" s="105"/>
      <c r="H19" s="106"/>
    </row>
    <row r="20" spans="2:8" ht="72.75" customHeight="1" x14ac:dyDescent="0.25">
      <c r="B20" s="102"/>
      <c r="C20" s="289" t="s">
        <v>1</v>
      </c>
      <c r="D20" s="290"/>
      <c r="E20" s="291" t="s">
        <v>208</v>
      </c>
      <c r="F20" s="292"/>
      <c r="G20" s="105"/>
      <c r="H20" s="106"/>
    </row>
    <row r="21" spans="2:8" ht="64.5" customHeight="1" x14ac:dyDescent="0.25">
      <c r="B21" s="102"/>
      <c r="C21" s="289" t="s">
        <v>50</v>
      </c>
      <c r="D21" s="290"/>
      <c r="E21" s="291" t="s">
        <v>166</v>
      </c>
      <c r="F21" s="292"/>
      <c r="G21" s="105"/>
      <c r="H21" s="106"/>
    </row>
    <row r="22" spans="2:8" ht="71.25" customHeight="1" x14ac:dyDescent="0.25">
      <c r="B22" s="102"/>
      <c r="C22" s="289" t="s">
        <v>165</v>
      </c>
      <c r="D22" s="290"/>
      <c r="E22" s="291" t="s">
        <v>167</v>
      </c>
      <c r="F22" s="292"/>
      <c r="G22" s="105"/>
      <c r="H22" s="106"/>
    </row>
    <row r="23" spans="2:8" ht="55.5" customHeight="1" x14ac:dyDescent="0.25">
      <c r="B23" s="102"/>
      <c r="C23" s="296" t="s">
        <v>168</v>
      </c>
      <c r="D23" s="297"/>
      <c r="E23" s="291" t="s">
        <v>169</v>
      </c>
      <c r="F23" s="292"/>
      <c r="G23" s="105"/>
      <c r="H23" s="106"/>
    </row>
    <row r="24" spans="2:8" ht="42" customHeight="1" x14ac:dyDescent="0.25">
      <c r="B24" s="102"/>
      <c r="C24" s="296" t="s">
        <v>48</v>
      </c>
      <c r="D24" s="297"/>
      <c r="E24" s="291" t="s">
        <v>170</v>
      </c>
      <c r="F24" s="292"/>
      <c r="G24" s="105"/>
      <c r="H24" s="106"/>
    </row>
    <row r="25" spans="2:8" ht="59.25" customHeight="1" x14ac:dyDescent="0.25">
      <c r="B25" s="102"/>
      <c r="C25" s="296" t="s">
        <v>158</v>
      </c>
      <c r="D25" s="297"/>
      <c r="E25" s="291" t="s">
        <v>171</v>
      </c>
      <c r="F25" s="292"/>
      <c r="G25" s="105"/>
      <c r="H25" s="106"/>
    </row>
    <row r="26" spans="2:8" ht="23.25" customHeight="1" x14ac:dyDescent="0.25">
      <c r="B26" s="102"/>
      <c r="C26" s="296" t="s">
        <v>12</v>
      </c>
      <c r="D26" s="297"/>
      <c r="E26" s="291" t="s">
        <v>172</v>
      </c>
      <c r="F26" s="292"/>
      <c r="G26" s="105"/>
      <c r="H26" s="106"/>
    </row>
    <row r="27" spans="2:8" ht="30.75" customHeight="1" x14ac:dyDescent="0.25">
      <c r="B27" s="102"/>
      <c r="C27" s="296" t="s">
        <v>176</v>
      </c>
      <c r="D27" s="297"/>
      <c r="E27" s="291" t="s">
        <v>173</v>
      </c>
      <c r="F27" s="292"/>
      <c r="G27" s="105"/>
      <c r="H27" s="106"/>
    </row>
    <row r="28" spans="2:8" ht="35.25" customHeight="1" x14ac:dyDescent="0.25">
      <c r="B28" s="102"/>
      <c r="C28" s="296" t="s">
        <v>177</v>
      </c>
      <c r="D28" s="297"/>
      <c r="E28" s="291" t="s">
        <v>174</v>
      </c>
      <c r="F28" s="292"/>
      <c r="G28" s="105"/>
      <c r="H28" s="106"/>
    </row>
    <row r="29" spans="2:8" ht="33" customHeight="1" x14ac:dyDescent="0.25">
      <c r="B29" s="102"/>
      <c r="C29" s="296" t="s">
        <v>177</v>
      </c>
      <c r="D29" s="297"/>
      <c r="E29" s="291" t="s">
        <v>174</v>
      </c>
      <c r="F29" s="292"/>
      <c r="G29" s="105"/>
      <c r="H29" s="106"/>
    </row>
    <row r="30" spans="2:8" ht="30" customHeight="1" x14ac:dyDescent="0.25">
      <c r="B30" s="102"/>
      <c r="C30" s="296" t="s">
        <v>178</v>
      </c>
      <c r="D30" s="297"/>
      <c r="E30" s="291" t="s">
        <v>175</v>
      </c>
      <c r="F30" s="292"/>
      <c r="G30" s="105"/>
      <c r="H30" s="106"/>
    </row>
    <row r="31" spans="2:8" ht="35.25" customHeight="1" x14ac:dyDescent="0.25">
      <c r="B31" s="102"/>
      <c r="C31" s="296" t="s">
        <v>179</v>
      </c>
      <c r="D31" s="297"/>
      <c r="E31" s="291" t="s">
        <v>180</v>
      </c>
      <c r="F31" s="292"/>
      <c r="G31" s="105"/>
      <c r="H31" s="106"/>
    </row>
    <row r="32" spans="2:8" ht="31.5" customHeight="1" x14ac:dyDescent="0.25">
      <c r="B32" s="102"/>
      <c r="C32" s="296" t="s">
        <v>181</v>
      </c>
      <c r="D32" s="297"/>
      <c r="E32" s="291" t="s">
        <v>182</v>
      </c>
      <c r="F32" s="292"/>
      <c r="G32" s="105"/>
      <c r="H32" s="106"/>
    </row>
    <row r="33" spans="2:8" ht="35.25" customHeight="1" x14ac:dyDescent="0.25">
      <c r="B33" s="102"/>
      <c r="C33" s="296" t="s">
        <v>183</v>
      </c>
      <c r="D33" s="297"/>
      <c r="E33" s="291" t="s">
        <v>184</v>
      </c>
      <c r="F33" s="292"/>
      <c r="G33" s="105"/>
      <c r="H33" s="106"/>
    </row>
    <row r="34" spans="2:8" ht="59.25" customHeight="1" x14ac:dyDescent="0.25">
      <c r="B34" s="102"/>
      <c r="C34" s="296" t="s">
        <v>185</v>
      </c>
      <c r="D34" s="297"/>
      <c r="E34" s="291" t="s">
        <v>186</v>
      </c>
      <c r="F34" s="292"/>
      <c r="G34" s="105"/>
      <c r="H34" s="106"/>
    </row>
    <row r="35" spans="2:8" ht="29.25" customHeight="1" x14ac:dyDescent="0.25">
      <c r="B35" s="102"/>
      <c r="C35" s="296" t="s">
        <v>29</v>
      </c>
      <c r="D35" s="297"/>
      <c r="E35" s="291" t="s">
        <v>187</v>
      </c>
      <c r="F35" s="292"/>
      <c r="G35" s="105"/>
      <c r="H35" s="106"/>
    </row>
    <row r="36" spans="2:8" ht="82.5" customHeight="1" x14ac:dyDescent="0.25">
      <c r="B36" s="102"/>
      <c r="C36" s="296" t="s">
        <v>189</v>
      </c>
      <c r="D36" s="297"/>
      <c r="E36" s="291" t="s">
        <v>188</v>
      </c>
      <c r="F36" s="292"/>
      <c r="G36" s="105"/>
      <c r="H36" s="106"/>
    </row>
    <row r="37" spans="2:8" ht="46.5" customHeight="1" x14ac:dyDescent="0.25">
      <c r="B37" s="102"/>
      <c r="C37" s="296" t="s">
        <v>39</v>
      </c>
      <c r="D37" s="297"/>
      <c r="E37" s="291" t="s">
        <v>190</v>
      </c>
      <c r="F37" s="292"/>
      <c r="G37" s="105"/>
      <c r="H37" s="106"/>
    </row>
    <row r="38" spans="2:8" ht="6.75" customHeight="1" thickBot="1" x14ac:dyDescent="0.3">
      <c r="B38" s="102"/>
      <c r="C38" s="298"/>
      <c r="D38" s="299"/>
      <c r="E38" s="300"/>
      <c r="F38" s="301"/>
      <c r="G38" s="105"/>
      <c r="H38" s="106"/>
    </row>
    <row r="39" spans="2:8" ht="15.75" thickTop="1" x14ac:dyDescent="0.25">
      <c r="B39" s="102"/>
      <c r="C39" s="103"/>
      <c r="D39" s="103"/>
      <c r="E39" s="104"/>
      <c r="F39" s="104"/>
      <c r="G39" s="105"/>
      <c r="H39" s="106"/>
    </row>
    <row r="40" spans="2:8" ht="21" customHeight="1" x14ac:dyDescent="0.25">
      <c r="B40" s="293" t="s">
        <v>199</v>
      </c>
      <c r="C40" s="294"/>
      <c r="D40" s="294"/>
      <c r="E40" s="294"/>
      <c r="F40" s="294"/>
      <c r="G40" s="294"/>
      <c r="H40" s="295"/>
    </row>
    <row r="41" spans="2:8" ht="20.25" customHeight="1" x14ac:dyDescent="0.25">
      <c r="B41" s="293" t="s">
        <v>200</v>
      </c>
      <c r="C41" s="294"/>
      <c r="D41" s="294"/>
      <c r="E41" s="294"/>
      <c r="F41" s="294"/>
      <c r="G41" s="294"/>
      <c r="H41" s="295"/>
    </row>
    <row r="42" spans="2:8" ht="20.25" customHeight="1" x14ac:dyDescent="0.25">
      <c r="B42" s="293" t="s">
        <v>201</v>
      </c>
      <c r="C42" s="294"/>
      <c r="D42" s="294"/>
      <c r="E42" s="294"/>
      <c r="F42" s="294"/>
      <c r="G42" s="294"/>
      <c r="H42" s="295"/>
    </row>
    <row r="43" spans="2:8" ht="20.25" customHeight="1" x14ac:dyDescent="0.25">
      <c r="B43" s="293" t="s">
        <v>202</v>
      </c>
      <c r="C43" s="294"/>
      <c r="D43" s="294"/>
      <c r="E43" s="294"/>
      <c r="F43" s="294"/>
      <c r="G43" s="294"/>
      <c r="H43" s="295"/>
    </row>
    <row r="44" spans="2:8" x14ac:dyDescent="0.25">
      <c r="B44" s="293" t="s">
        <v>203</v>
      </c>
      <c r="C44" s="294"/>
      <c r="D44" s="294"/>
      <c r="E44" s="294"/>
      <c r="F44" s="294"/>
      <c r="G44" s="294"/>
      <c r="H44" s="295"/>
    </row>
    <row r="45" spans="2:8" ht="15.75" thickBot="1" x14ac:dyDescent="0.3">
      <c r="B45" s="107"/>
      <c r="C45" s="108"/>
      <c r="D45" s="108"/>
      <c r="E45" s="108"/>
      <c r="F45" s="108"/>
      <c r="G45" s="108"/>
      <c r="H45" s="109"/>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R106"/>
  <sheetViews>
    <sheetView tabSelected="1" topLeftCell="V76" zoomScale="70" zoomScaleNormal="70" workbookViewId="0">
      <selection activeCell="AH81" sqref="AH81"/>
    </sheetView>
  </sheetViews>
  <sheetFormatPr baseColWidth="10" defaultColWidth="10.7109375" defaultRowHeight="16.5" x14ac:dyDescent="0.3"/>
  <cols>
    <col min="1" max="1" width="10.7109375" style="1"/>
    <col min="2" max="2" width="25" style="1" customWidth="1"/>
    <col min="3" max="3" width="9" style="2" customWidth="1"/>
    <col min="4" max="4" width="18" style="2" customWidth="1"/>
    <col min="5" max="5" width="21.5703125" style="2" customWidth="1"/>
    <col min="6" max="6" width="20.5703125" style="2" customWidth="1"/>
    <col min="7" max="7" width="38.28515625" style="1" customWidth="1"/>
    <col min="8" max="8" width="19" style="4" customWidth="1"/>
    <col min="9" max="9" width="17.7109375" style="1" customWidth="1"/>
    <col min="10" max="10" width="16.42578125" style="1" customWidth="1"/>
    <col min="11" max="11" width="11.28515625" style="1" customWidth="1"/>
    <col min="12" max="12" width="27.28515625" style="1" bestFit="1" customWidth="1"/>
    <col min="13" max="13" width="20.28515625" style="1" customWidth="1"/>
    <col min="14" max="14" width="17.42578125" style="1" customWidth="1"/>
    <col min="15" max="15" width="11.140625" style="1" customWidth="1"/>
    <col min="16" max="16" width="16" style="1" customWidth="1"/>
    <col min="17" max="17" width="5.7109375" style="1" customWidth="1"/>
    <col min="18" max="18" width="36.85546875" style="1" customWidth="1"/>
    <col min="19" max="19" width="15.140625" style="1" bestFit="1" customWidth="1"/>
    <col min="20" max="20" width="6.7109375" style="1" customWidth="1"/>
    <col min="21" max="21" width="5" style="1" customWidth="1"/>
    <col min="22" max="22" width="5.42578125" style="1" customWidth="1"/>
    <col min="23" max="23" width="7.140625" style="1" customWidth="1"/>
    <col min="24" max="24" width="6.7109375" style="1" customWidth="1"/>
    <col min="25" max="25" width="7.42578125" style="1" customWidth="1"/>
    <col min="26" max="26" width="12" style="1" customWidth="1"/>
    <col min="27" max="27" width="8.7109375" style="1" customWidth="1"/>
    <col min="28" max="28" width="10.28515625" style="1" customWidth="1"/>
    <col min="29" max="29" width="9.28515625" style="1" customWidth="1"/>
    <col min="30" max="30" width="9.140625" style="1" customWidth="1"/>
    <col min="31" max="31" width="8.42578125" style="1" customWidth="1"/>
    <col min="32" max="32" width="7.28515625" style="1" customWidth="1"/>
    <col min="33" max="33" width="37.7109375" style="1" customWidth="1"/>
    <col min="34" max="34" width="25" style="1" customWidth="1"/>
    <col min="35" max="35" width="18.140625" style="1" customWidth="1"/>
    <col min="36" max="36" width="14.7109375" style="1" customWidth="1"/>
    <col min="37" max="37" width="40.28515625" style="1" customWidth="1"/>
    <col min="38" max="38" width="21" style="1" customWidth="1"/>
    <col min="39" max="16384" width="10.7109375" style="1"/>
  </cols>
  <sheetData>
    <row r="1" spans="2:70" ht="29.45" hidden="1" customHeight="1" thickBot="1" x14ac:dyDescent="0.35">
      <c r="C1" s="116" t="s">
        <v>139</v>
      </c>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8"/>
    </row>
    <row r="2" spans="2:70" ht="16.5" hidden="1" customHeight="1" x14ac:dyDescent="0.3">
      <c r="C2" s="119" t="s">
        <v>247</v>
      </c>
      <c r="D2" s="120" t="s">
        <v>248</v>
      </c>
      <c r="E2" s="121"/>
      <c r="F2" s="121"/>
      <c r="G2" s="122" t="s">
        <v>249</v>
      </c>
      <c r="H2" s="324" t="s">
        <v>250</v>
      </c>
      <c r="I2" s="324"/>
      <c r="J2" s="325"/>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4"/>
    </row>
    <row r="3" spans="2:70" ht="16.149999999999999" hidden="1" customHeight="1" x14ac:dyDescent="0.3">
      <c r="C3" s="125" t="s">
        <v>251</v>
      </c>
      <c r="D3" s="126">
        <v>1</v>
      </c>
      <c r="E3" s="121"/>
      <c r="F3" s="127"/>
      <c r="G3" s="128" t="s">
        <v>252</v>
      </c>
      <c r="H3" s="326">
        <v>44392</v>
      </c>
      <c r="I3" s="327"/>
      <c r="J3" s="328"/>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4"/>
    </row>
    <row r="4" spans="2:70" ht="24" hidden="1" customHeight="1" thickBot="1" x14ac:dyDescent="0.35">
      <c r="C4" s="129" t="s">
        <v>253</v>
      </c>
      <c r="D4" s="130" t="s">
        <v>254</v>
      </c>
      <c r="E4" s="121"/>
      <c r="F4" s="131"/>
      <c r="G4" s="329" t="s">
        <v>255</v>
      </c>
      <c r="H4" s="330"/>
      <c r="I4" s="330"/>
      <c r="J4" s="331"/>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3"/>
    </row>
    <row r="5" spans="2:70" ht="24" hidden="1" customHeight="1" thickBot="1" x14ac:dyDescent="0.35">
      <c r="C5" s="121"/>
      <c r="D5" s="131"/>
      <c r="E5" s="121"/>
      <c r="F5" s="131"/>
      <c r="G5" s="332"/>
      <c r="H5" s="333"/>
      <c r="I5" s="333"/>
      <c r="J5" s="334"/>
      <c r="K5" s="132"/>
      <c r="L5" s="132"/>
      <c r="M5" s="132"/>
      <c r="N5" s="132"/>
      <c r="O5" s="132"/>
      <c r="P5" s="132"/>
      <c r="Q5" s="123"/>
      <c r="R5" s="123"/>
      <c r="S5" s="123"/>
      <c r="T5" s="123"/>
      <c r="U5" s="123"/>
      <c r="V5" s="123"/>
      <c r="W5" s="123"/>
      <c r="X5" s="123"/>
      <c r="Y5" s="123"/>
      <c r="Z5" s="123"/>
      <c r="AA5" s="123"/>
      <c r="AB5" s="123"/>
      <c r="AC5" s="123"/>
      <c r="AD5" s="123"/>
      <c r="AE5" s="123"/>
      <c r="AF5" s="123"/>
      <c r="AG5" s="123"/>
      <c r="AH5" s="123"/>
      <c r="AI5" s="123"/>
      <c r="AJ5" s="123"/>
      <c r="AK5" s="123"/>
      <c r="AL5" s="123"/>
    </row>
    <row r="6" spans="2:70" ht="26.25" hidden="1" customHeight="1" x14ac:dyDescent="0.3">
      <c r="C6" s="342" t="s">
        <v>43</v>
      </c>
      <c r="D6" s="343"/>
      <c r="E6" s="344" t="s">
        <v>216</v>
      </c>
      <c r="F6" s="345"/>
      <c r="G6" s="345"/>
      <c r="H6" s="345"/>
      <c r="I6" s="345"/>
      <c r="J6" s="345"/>
      <c r="K6" s="345"/>
      <c r="L6" s="345"/>
      <c r="M6" s="345"/>
      <c r="N6" s="345"/>
      <c r="O6" s="345"/>
      <c r="P6" s="346"/>
      <c r="Q6" s="341"/>
      <c r="R6" s="341"/>
      <c r="S6" s="341"/>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row>
    <row r="7" spans="2:70" ht="30" hidden="1" customHeight="1" x14ac:dyDescent="0.3">
      <c r="C7" s="342" t="s">
        <v>130</v>
      </c>
      <c r="D7" s="343"/>
      <c r="E7" s="344" t="s">
        <v>256</v>
      </c>
      <c r="F7" s="345"/>
      <c r="G7" s="345"/>
      <c r="H7" s="345"/>
      <c r="I7" s="345"/>
      <c r="J7" s="345"/>
      <c r="K7" s="345"/>
      <c r="L7" s="345"/>
      <c r="M7" s="345"/>
      <c r="N7" s="345"/>
      <c r="O7" s="345"/>
      <c r="P7" s="346"/>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row>
    <row r="8" spans="2:70" ht="49.5" hidden="1" customHeight="1" x14ac:dyDescent="0.3">
      <c r="C8" s="336" t="s">
        <v>44</v>
      </c>
      <c r="D8" s="337"/>
      <c r="E8" s="338" t="s">
        <v>257</v>
      </c>
      <c r="F8" s="339"/>
      <c r="G8" s="339"/>
      <c r="H8" s="339"/>
      <c r="I8" s="339"/>
      <c r="J8" s="339"/>
      <c r="K8" s="339"/>
      <c r="L8" s="339"/>
      <c r="M8" s="339"/>
      <c r="N8" s="339"/>
      <c r="O8" s="339"/>
      <c r="P8" s="340"/>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row>
    <row r="9" spans="2:70" ht="24" hidden="1" customHeight="1" x14ac:dyDescent="0.3">
      <c r="C9" s="121"/>
      <c r="D9" s="131"/>
      <c r="E9" s="121"/>
      <c r="F9" s="131"/>
      <c r="G9" s="134"/>
      <c r="H9" s="134"/>
      <c r="I9" s="134"/>
      <c r="J9" s="134"/>
      <c r="K9" s="132"/>
      <c r="L9" s="132"/>
      <c r="M9" s="132"/>
      <c r="N9" s="132"/>
      <c r="O9" s="132"/>
      <c r="P9" s="132"/>
      <c r="Q9" s="123"/>
      <c r="R9" s="123"/>
      <c r="S9" s="123"/>
      <c r="T9" s="123"/>
      <c r="U9" s="123"/>
      <c r="V9" s="123"/>
      <c r="W9" s="123"/>
      <c r="X9" s="123"/>
      <c r="Y9" s="123"/>
      <c r="Z9" s="123"/>
      <c r="AA9" s="123"/>
      <c r="AB9" s="123"/>
      <c r="AC9" s="123"/>
      <c r="AD9" s="123"/>
      <c r="AE9" s="123"/>
      <c r="AF9" s="123"/>
      <c r="AG9" s="123"/>
      <c r="AH9" s="123"/>
      <c r="AI9" s="123"/>
      <c r="AJ9" s="123"/>
      <c r="AK9" s="123"/>
      <c r="AL9" s="123"/>
    </row>
    <row r="10" spans="2:70" ht="27.75" thickBot="1" x14ac:dyDescent="0.35">
      <c r="C10" s="116"/>
      <c r="D10" s="117"/>
      <c r="E10" s="117"/>
      <c r="F10" s="117"/>
      <c r="G10" s="117"/>
      <c r="H10" s="117"/>
      <c r="I10" s="117"/>
      <c r="J10" s="117"/>
    </row>
    <row r="11" spans="2:70" ht="38.25" customHeight="1" x14ac:dyDescent="0.3">
      <c r="C11" s="207" t="s">
        <v>247</v>
      </c>
      <c r="D11" s="207" t="s">
        <v>248</v>
      </c>
      <c r="E11" s="168"/>
      <c r="F11" s="168"/>
      <c r="G11" s="169" t="s">
        <v>249</v>
      </c>
      <c r="H11" s="351" t="s">
        <v>485</v>
      </c>
      <c r="I11" s="351"/>
      <c r="J11" s="352"/>
    </row>
    <row r="12" spans="2:70" ht="22.35" customHeight="1" x14ac:dyDescent="0.3">
      <c r="C12" s="207" t="s">
        <v>251</v>
      </c>
      <c r="D12" s="207">
        <v>1</v>
      </c>
      <c r="E12" s="168"/>
      <c r="F12" s="168"/>
      <c r="G12" s="170" t="s">
        <v>252</v>
      </c>
      <c r="H12" s="353">
        <v>45489</v>
      </c>
      <c r="I12" s="354"/>
      <c r="J12" s="355"/>
    </row>
    <row r="13" spans="2:70" ht="29.25" customHeight="1" x14ac:dyDescent="0.3">
      <c r="C13" s="207" t="s">
        <v>253</v>
      </c>
      <c r="D13" s="208" t="s">
        <v>254</v>
      </c>
      <c r="E13" s="168"/>
      <c r="F13" s="171"/>
      <c r="G13" s="356" t="s">
        <v>592</v>
      </c>
      <c r="H13" s="357"/>
      <c r="I13" s="357"/>
      <c r="J13" s="358"/>
    </row>
    <row r="14" spans="2:70" ht="21" customHeight="1" thickBot="1" x14ac:dyDescent="0.35">
      <c r="C14" s="168"/>
      <c r="D14" s="171"/>
      <c r="E14" s="168"/>
      <c r="F14" s="171"/>
      <c r="G14" s="359"/>
      <c r="H14" s="360"/>
      <c r="I14" s="360"/>
      <c r="J14" s="361"/>
    </row>
    <row r="15" spans="2:70" ht="23.25" customHeight="1" x14ac:dyDescent="0.3">
      <c r="B15" s="313" t="s">
        <v>491</v>
      </c>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4"/>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row>
    <row r="16" spans="2:70" ht="15" customHeight="1" x14ac:dyDescent="0.3">
      <c r="B16" s="313"/>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4"/>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row>
    <row r="17" spans="1:70" ht="24.75" customHeight="1" x14ac:dyDescent="0.3">
      <c r="A17" s="229"/>
      <c r="B17" s="209"/>
      <c r="C17" s="323" t="s">
        <v>487</v>
      </c>
      <c r="D17" s="323"/>
      <c r="E17" s="323"/>
      <c r="F17" s="323"/>
      <c r="G17" s="323"/>
      <c r="H17" s="323"/>
      <c r="I17" s="323"/>
      <c r="J17" s="323" t="s">
        <v>488</v>
      </c>
      <c r="K17" s="323"/>
      <c r="L17" s="323"/>
      <c r="M17" s="323"/>
      <c r="N17" s="323"/>
      <c r="O17" s="323"/>
      <c r="P17" s="323"/>
      <c r="Q17" s="323" t="s">
        <v>489</v>
      </c>
      <c r="R17" s="323"/>
      <c r="S17" s="323"/>
      <c r="T17" s="323"/>
      <c r="U17" s="323"/>
      <c r="V17" s="323"/>
      <c r="W17" s="323"/>
      <c r="X17" s="323"/>
      <c r="Y17" s="323"/>
      <c r="Z17" s="323" t="s">
        <v>490</v>
      </c>
      <c r="AA17" s="323"/>
      <c r="AB17" s="323"/>
      <c r="AC17" s="323"/>
      <c r="AD17" s="323"/>
      <c r="AE17" s="323"/>
      <c r="AF17" s="323"/>
      <c r="AG17" s="323" t="s">
        <v>34</v>
      </c>
      <c r="AH17" s="323"/>
      <c r="AI17" s="323"/>
      <c r="AJ17" s="323"/>
      <c r="AK17" s="323"/>
      <c r="AL17" s="323"/>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row>
    <row r="18" spans="1:70" ht="16.5" customHeight="1" x14ac:dyDescent="0.3">
      <c r="A18" s="392" t="s">
        <v>542</v>
      </c>
      <c r="B18" s="305" t="s">
        <v>465</v>
      </c>
      <c r="C18" s="393" t="s">
        <v>0</v>
      </c>
      <c r="D18" s="323" t="s">
        <v>2</v>
      </c>
      <c r="E18" s="305" t="s">
        <v>3</v>
      </c>
      <c r="F18" s="305" t="s">
        <v>42</v>
      </c>
      <c r="G18" s="323" t="s">
        <v>1</v>
      </c>
      <c r="H18" s="305" t="s">
        <v>50</v>
      </c>
      <c r="I18" s="305" t="s">
        <v>134</v>
      </c>
      <c r="J18" s="305" t="s">
        <v>33</v>
      </c>
      <c r="K18" s="323" t="s">
        <v>5</v>
      </c>
      <c r="L18" s="305" t="s">
        <v>87</v>
      </c>
      <c r="M18" s="305" t="s">
        <v>92</v>
      </c>
      <c r="N18" s="305" t="s">
        <v>45</v>
      </c>
      <c r="O18" s="323" t="s">
        <v>5</v>
      </c>
      <c r="P18" s="305" t="s">
        <v>48</v>
      </c>
      <c r="Q18" s="312" t="s">
        <v>11</v>
      </c>
      <c r="R18" s="305" t="s">
        <v>158</v>
      </c>
      <c r="S18" s="305" t="s">
        <v>12</v>
      </c>
      <c r="T18" s="305" t="s">
        <v>8</v>
      </c>
      <c r="U18" s="305"/>
      <c r="V18" s="305"/>
      <c r="W18" s="305"/>
      <c r="X18" s="305"/>
      <c r="Y18" s="305"/>
      <c r="Z18" s="312" t="s">
        <v>137</v>
      </c>
      <c r="AA18" s="312" t="s">
        <v>46</v>
      </c>
      <c r="AB18" s="312" t="s">
        <v>5</v>
      </c>
      <c r="AC18" s="312" t="s">
        <v>47</v>
      </c>
      <c r="AD18" s="312" t="s">
        <v>5</v>
      </c>
      <c r="AE18" s="312" t="s">
        <v>49</v>
      </c>
      <c r="AF18" s="312" t="s">
        <v>29</v>
      </c>
      <c r="AG18" s="305" t="s">
        <v>34</v>
      </c>
      <c r="AH18" s="305" t="s">
        <v>35</v>
      </c>
      <c r="AI18" s="305" t="s">
        <v>36</v>
      </c>
      <c r="AJ18" s="305" t="s">
        <v>38</v>
      </c>
      <c r="AK18" s="305" t="s">
        <v>37</v>
      </c>
      <c r="AL18" s="305" t="s">
        <v>39</v>
      </c>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row>
    <row r="19" spans="1:70" s="3" customFormat="1" ht="94.5" customHeight="1" x14ac:dyDescent="0.25">
      <c r="A19" s="392"/>
      <c r="B19" s="305"/>
      <c r="C19" s="393"/>
      <c r="D19" s="323"/>
      <c r="E19" s="305"/>
      <c r="F19" s="305"/>
      <c r="G19" s="323"/>
      <c r="H19" s="305"/>
      <c r="I19" s="305"/>
      <c r="J19" s="305"/>
      <c r="K19" s="323"/>
      <c r="L19" s="305"/>
      <c r="M19" s="305"/>
      <c r="N19" s="323"/>
      <c r="O19" s="323"/>
      <c r="P19" s="305"/>
      <c r="Q19" s="312"/>
      <c r="R19" s="305"/>
      <c r="S19" s="305"/>
      <c r="T19" s="138" t="s">
        <v>13</v>
      </c>
      <c r="U19" s="138" t="s">
        <v>17</v>
      </c>
      <c r="V19" s="138" t="s">
        <v>28</v>
      </c>
      <c r="W19" s="138" t="s">
        <v>18</v>
      </c>
      <c r="X19" s="138" t="s">
        <v>21</v>
      </c>
      <c r="Y19" s="138" t="s">
        <v>24</v>
      </c>
      <c r="Z19" s="312"/>
      <c r="AA19" s="312"/>
      <c r="AB19" s="312"/>
      <c r="AC19" s="312"/>
      <c r="AD19" s="312"/>
      <c r="AE19" s="312"/>
      <c r="AF19" s="312"/>
      <c r="AG19" s="305"/>
      <c r="AH19" s="305"/>
      <c r="AI19" s="305"/>
      <c r="AJ19" s="305"/>
      <c r="AK19" s="305"/>
      <c r="AL19" s="305"/>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row>
    <row r="20" spans="1:70" s="2" customFormat="1" ht="211.5" customHeight="1" x14ac:dyDescent="0.25">
      <c r="A20" s="318">
        <v>1</v>
      </c>
      <c r="B20" s="317" t="s">
        <v>450</v>
      </c>
      <c r="C20" s="318">
        <v>1</v>
      </c>
      <c r="D20" s="304" t="s">
        <v>133</v>
      </c>
      <c r="E20" s="304" t="s">
        <v>211</v>
      </c>
      <c r="F20" s="139" t="s">
        <v>210</v>
      </c>
      <c r="G20" s="320" t="s">
        <v>209</v>
      </c>
      <c r="H20" s="304" t="s">
        <v>123</v>
      </c>
      <c r="I20" s="335">
        <v>100</v>
      </c>
      <c r="J20" s="321" t="str">
        <f>IF(I20&lt;=0,"",IF(I20&lt;=2,"Muy Baja",IF(I20&lt;=24,"Baja",IF(I20&lt;=500,"Media",IF(I20&lt;=5000,"Alta","Muy Alta")))))</f>
        <v>Media</v>
      </c>
      <c r="K20" s="310">
        <f>IF(J20="","",IF(J20="Muy Baja",0.2,IF(J20="Baja",0.4,IF(J20="Media",0.6,IF(J20="Alta",0.8,IF(J20="Muy Alta",1,))))))</f>
        <v>0.6</v>
      </c>
      <c r="L20" s="311" t="s">
        <v>144</v>
      </c>
      <c r="M20" s="310" t="str">
        <f>IF(NOT(ISERROR(MATCH(L20,'Tabla Impacto'!$B$221:$B$223,0))),'Tabla Impacto'!$F$223&amp;"Por favor no seleccionar los criterios de impacto(Afectación Económica o presupuestal y Pérdida Reputacional)",L20)</f>
        <v xml:space="preserve">     Entre 50 y 100 SMLMV </v>
      </c>
      <c r="N20" s="321" t="str">
        <f>IF(OR(M20='Tabla Impacto'!$C$11,M20='Tabla Impacto'!$D$11),"Leve",IF(OR(M20='Tabla Impacto'!$C$12,M20='Tabla Impacto'!$D$12),"Menor",IF(OR(M20='Tabla Impacto'!$C$13,M20='Tabla Impacto'!$D$13),"Moderado",IF(OR(M20='Tabla Impacto'!$C$14,M20='Tabla Impacto'!$D$14),"Mayor",IF(OR(M20='Tabla Impacto'!$C$15,M20='Tabla Impacto'!$D$15),"Catastrófico","")))))</f>
        <v>Moderado</v>
      </c>
      <c r="O20" s="322">
        <f>IF(N20="","",IF(N20="Leve",0.2,IF(N20="Menor",0.4,IF(N20="Moderado",0.6,IF(N20="Mayor",0.8,IF(N20="Catastrófico",1,))))))</f>
        <v>0.6</v>
      </c>
      <c r="P20" s="309" t="str">
        <f>IF(OR(AND(J20="Muy Baja",N20="Leve"),AND(J20="Muy Baja",N20="Menor"),AND(J20="Baja",N20="Leve")),"Bajo",IF(OR(AND(J20="Muy baja",N20="Moderado"),AND(J20="Baja",N20="Menor"),AND(J20="Baja",N20="Moderado"),AND(J20="Media",N20="Leve"),AND(J20="Media",N20="Menor"),AND(J20="Media",N20="Moderado"),AND(J20="Alta",N20="Leve"),AND(J20="Alta",N20="Menor")),"Moderado",IF(OR(AND(J20="Muy Baja",N20="Mayor"),AND(J20="Baja",N20="Mayor"),AND(J20="Media",N20="Mayor"),AND(J20="Alta",N20="Moderado"),AND(J20="Alta",N20="Mayor"),AND(J20="Muy Alta",N20="Leve"),AND(J20="Muy Alta",N20="Menor"),AND(J20="Muy Alta",N20="Moderado"),AND(J20="Muy Alta",N20="Mayor")),"Alto",IF(OR(AND(J20="Muy Baja",N20="Catastrófico"),AND(J20="Baja",N20="Catastrófico"),AND(J20="Media",N20="Catastrófico"),AND(J20="Alta",N20="Catastrófico"),AND(J20="Muy Alta",N20="Catastrófico")),"Extremo",""))))</f>
        <v>Moderado</v>
      </c>
      <c r="Q20" s="140">
        <v>1</v>
      </c>
      <c r="R20" s="139" t="s">
        <v>213</v>
      </c>
      <c r="S20" s="141" t="str">
        <f t="shared" ref="S20:S47" si="0">IF(OR(T20="Preventivo",T20="Detectivo"),"Probabilidad",IF(T20="Correctivo","Impacto",""))</f>
        <v>Probabilidad</v>
      </c>
      <c r="T20" s="142" t="s">
        <v>14</v>
      </c>
      <c r="U20" s="142" t="s">
        <v>9</v>
      </c>
      <c r="V20" s="143" t="str">
        <f>IF(AND(T20="Preventivo",U20="Automático"),"50%",IF(AND(T20="Preventivo",U20="Manual"),"40%",IF(AND(T20="Detectivo",U20="Automático"),"40%",IF(AND(T20="Detectivo",U20="Manual"),"30%",IF(AND(T20="Correctivo",U20="Automático"),"35%",IF(AND(T20="Correctivo",U20="Manual"),"25%",""))))))</f>
        <v>40%</v>
      </c>
      <c r="W20" s="142" t="s">
        <v>19</v>
      </c>
      <c r="X20" s="142" t="s">
        <v>22</v>
      </c>
      <c r="Y20" s="142" t="s">
        <v>119</v>
      </c>
      <c r="Z20" s="144">
        <f>IFERROR(IF(S20="Probabilidad",(K20-(+K20*V20)),IF(S20="Impacto",K20,"")),"")</f>
        <v>0.36</v>
      </c>
      <c r="AA20" s="162" t="str">
        <f>IFERROR(IF(Z20="","",IF(Z20&lt;=0.2,"Muy Baja",IF(Z20&lt;=0.4,"Baja",IF(Z20&lt;=0.6,"Media",IF(Z20&lt;=0.8,"Alta","Muy Alta"))))),"")</f>
        <v>Baja</v>
      </c>
      <c r="AB20" s="143">
        <f>+Z20</f>
        <v>0.36</v>
      </c>
      <c r="AC20" s="162" t="str">
        <f>IFERROR(IF(AD20="","",IF(AD20&lt;=0.2,"Leve",IF(AD20&lt;=0.4,"Menor",IF(AD20&lt;=0.6,"Moderado",IF(AD20&lt;=0.8,"Mayor","Catastrófico"))))),"")</f>
        <v>Moderado</v>
      </c>
      <c r="AD20" s="143">
        <f>IFERROR(IF(S20="Impacto",(O20-(+O20*V20)),IF(S20="Probabilidad",O20,"")),"")</f>
        <v>0.6</v>
      </c>
      <c r="AE20" s="163" t="str">
        <f>IFERROR(IF(OR(AND(AA20="Muy Baja",AC20="Leve"),AND(AA20="Muy Baja",AC20="Menor"),AND(AA20="Baja",AC20="Leve")),"Bajo",IF(OR(AND(AA20="Muy baja",AC20="Moderado"),AND(AA20="Baja",AC20="Menor"),AND(AA20="Baja",AC20="Moderado"),AND(AA20="Media",AC20="Leve"),AND(AA20="Media",AC20="Menor"),AND(AA20="Media",AC20="Moderado"),AND(AA20="Alta",AC20="Leve"),AND(AA20="Alta",AC20="Menor")),"Moderado",IF(OR(AND(AA20="Muy Baja",AC20="Mayor"),AND(AA20="Baja",AC20="Mayor"),AND(AA20="Media",AC20="Mayor"),AND(AA20="Alta",AC20="Moderado"),AND(AA20="Alta",AC20="Mayor"),AND(AA20="Muy Alta",AC20="Leve"),AND(AA20="Muy Alta",AC20="Menor"),AND(AA20="Muy Alta",AC20="Moderado"),AND(AA20="Muy Alta",AC20="Mayor")),"Alto",IF(OR(AND(AA20="Muy Baja",AC20="Catastrófico"),AND(AA20="Baja",AC20="Catastrófico"),AND(AA20="Media",AC20="Catastrófico"),AND(AA20="Alta",AC20="Catastrófico"),AND(AA20="Muy Alta",AC20="Catastrófico")),"Extremo","")))),"")</f>
        <v>Moderado</v>
      </c>
      <c r="AF20" s="142" t="s">
        <v>32</v>
      </c>
      <c r="AG20" s="139" t="s">
        <v>240</v>
      </c>
      <c r="AH20" s="304" t="s">
        <v>216</v>
      </c>
      <c r="AI20" s="302" t="s">
        <v>238</v>
      </c>
      <c r="AJ20" s="302" t="s">
        <v>486</v>
      </c>
      <c r="AK20" s="190" t="s">
        <v>467</v>
      </c>
      <c r="AL20" s="304" t="s">
        <v>41</v>
      </c>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row>
    <row r="21" spans="1:70" s="2" customFormat="1" ht="154.5" customHeight="1" x14ac:dyDescent="0.25">
      <c r="A21" s="318"/>
      <c r="B21" s="317"/>
      <c r="C21" s="318"/>
      <c r="D21" s="304"/>
      <c r="E21" s="304"/>
      <c r="F21" s="139" t="s">
        <v>217</v>
      </c>
      <c r="G21" s="320"/>
      <c r="H21" s="304"/>
      <c r="I21" s="335"/>
      <c r="J21" s="321"/>
      <c r="K21" s="310"/>
      <c r="L21" s="311"/>
      <c r="M21" s="310">
        <f>IF(NOT(ISERROR(MATCH(L21,_xlfn.ANCHORARRAY(G24),0))),K26&amp;"Por favor no seleccionar los criterios de impacto",L21)</f>
        <v>0</v>
      </c>
      <c r="N21" s="321"/>
      <c r="O21" s="322"/>
      <c r="P21" s="309"/>
      <c r="Q21" s="140">
        <v>2</v>
      </c>
      <c r="R21" s="139" t="s">
        <v>214</v>
      </c>
      <c r="S21" s="141" t="str">
        <f t="shared" si="0"/>
        <v>Probabilidad</v>
      </c>
      <c r="T21" s="142" t="s">
        <v>14</v>
      </c>
      <c r="U21" s="142" t="s">
        <v>9</v>
      </c>
      <c r="V21" s="143" t="str">
        <f t="shared" ref="V21:V22" si="1">IF(AND(T21="Preventivo",U21="Automático"),"50%",IF(AND(T21="Preventivo",U21="Manual"),"40%",IF(AND(T21="Detectivo",U21="Automático"),"40%",IF(AND(T21="Detectivo",U21="Manual"),"30%",IF(AND(T21="Correctivo",U21="Automático"),"35%",IF(AND(T21="Correctivo",U21="Manual"),"25%",""))))))</f>
        <v>40%</v>
      </c>
      <c r="W21" s="142" t="s">
        <v>19</v>
      </c>
      <c r="X21" s="142" t="s">
        <v>22</v>
      </c>
      <c r="Y21" s="142" t="s">
        <v>119</v>
      </c>
      <c r="Z21" s="144">
        <f>IFERROR(IF(AND(S20="Probabilidad",S21="Probabilidad"),(AB20-(+AB20*V21)),IF(S21="Probabilidad",(K20-(+K20*V21)),IF(S21="Impacto",AB20,""))),"")</f>
        <v>0.216</v>
      </c>
      <c r="AA21" s="162" t="str">
        <f t="shared" ref="AA21:AA29" si="2">IFERROR(IF(Z21="","",IF(Z21&lt;=0.2,"Muy Baja",IF(Z21&lt;=0.4,"Baja",IF(Z21&lt;=0.6,"Media",IF(Z21&lt;=0.8,"Alta","Muy Alta"))))),"")</f>
        <v>Baja</v>
      </c>
      <c r="AB21" s="143">
        <f t="shared" ref="AB21:AB22" si="3">+Z21</f>
        <v>0.216</v>
      </c>
      <c r="AC21" s="162" t="str">
        <f t="shared" ref="AC21:AC29" si="4">IFERROR(IF(AD21="","",IF(AD21&lt;=0.2,"Leve",IF(AD21&lt;=0.4,"Menor",IF(AD21&lt;=0.6,"Moderado",IF(AD21&lt;=0.8,"Mayor","Catastrófico"))))),"")</f>
        <v>Moderado</v>
      </c>
      <c r="AD21" s="143">
        <f>IFERROR(IF(AND(S20="Impacto",S21="Impacto"),(AD20-(+AD20*V21)),IF(S21="Impacto",($O$20-(+$O$20*V21)),IF(S21="Probabilidad",AD20,""))),"")</f>
        <v>0.6</v>
      </c>
      <c r="AE21" s="163" t="str">
        <f t="shared" ref="AE21:AE22" si="5">IFERROR(IF(OR(AND(AA21="Muy Baja",AC21="Leve"),AND(AA21="Muy Baja",AC21="Menor"),AND(AA21="Baja",AC21="Leve")),"Bajo",IF(OR(AND(AA21="Muy baja",AC21="Moderado"),AND(AA21="Baja",AC21="Menor"),AND(AA21="Baja",AC21="Moderado"),AND(AA21="Media",AC21="Leve"),AND(AA21="Media",AC21="Menor"),AND(AA21="Media",AC21="Moderado"),AND(AA21="Alta",AC21="Leve"),AND(AA21="Alta",AC21="Menor")),"Moderado",IF(OR(AND(AA21="Muy Baja",AC21="Mayor"),AND(AA21="Baja",AC21="Mayor"),AND(AA21="Media",AC21="Mayor"),AND(AA21="Alta",AC21="Moderado"),AND(AA21="Alta",AC21="Mayor"),AND(AA21="Muy Alta",AC21="Leve"),AND(AA21="Muy Alta",AC21="Menor"),AND(AA21="Muy Alta",AC21="Moderado"),AND(AA21="Muy Alta",AC21="Mayor")),"Alto",IF(OR(AND(AA21="Muy Baja",AC21="Catastrófico"),AND(AA21="Baja",AC21="Catastrófico"),AND(AA21="Media",AC21="Catastrófico"),AND(AA21="Alta",AC21="Catastrófico"),AND(AA21="Muy Alta",AC21="Catastrófico")),"Extremo","")))),"")</f>
        <v>Moderado</v>
      </c>
      <c r="AF21" s="142" t="s">
        <v>32</v>
      </c>
      <c r="AG21" s="139" t="s">
        <v>241</v>
      </c>
      <c r="AH21" s="304"/>
      <c r="AI21" s="302"/>
      <c r="AJ21" s="302"/>
      <c r="AK21" s="190" t="s">
        <v>467</v>
      </c>
      <c r="AL21" s="304"/>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row>
    <row r="22" spans="1:70" s="2" customFormat="1" ht="130.5" customHeight="1" x14ac:dyDescent="0.25">
      <c r="A22" s="318"/>
      <c r="B22" s="317"/>
      <c r="C22" s="318"/>
      <c r="D22" s="304"/>
      <c r="E22" s="304"/>
      <c r="F22" s="139" t="s">
        <v>212</v>
      </c>
      <c r="G22" s="320"/>
      <c r="H22" s="304"/>
      <c r="I22" s="335"/>
      <c r="J22" s="321"/>
      <c r="K22" s="310"/>
      <c r="L22" s="311"/>
      <c r="M22" s="310">
        <f>IF(NOT(ISERROR(MATCH(L22,_xlfn.ANCHORARRAY(G25),0))),#REF!&amp;"Por favor no seleccionar los criterios de impacto",L22)</f>
        <v>0</v>
      </c>
      <c r="N22" s="321"/>
      <c r="O22" s="322"/>
      <c r="P22" s="309"/>
      <c r="Q22" s="140">
        <v>3</v>
      </c>
      <c r="R22" s="139" t="s">
        <v>215</v>
      </c>
      <c r="S22" s="141" t="str">
        <f t="shared" si="0"/>
        <v>Probabilidad</v>
      </c>
      <c r="T22" s="142" t="s">
        <v>14</v>
      </c>
      <c r="U22" s="142" t="s">
        <v>9</v>
      </c>
      <c r="V22" s="143" t="str">
        <f t="shared" si="1"/>
        <v>40%</v>
      </c>
      <c r="W22" s="142" t="s">
        <v>19</v>
      </c>
      <c r="X22" s="142" t="s">
        <v>22</v>
      </c>
      <c r="Y22" s="142" t="s">
        <v>119</v>
      </c>
      <c r="Z22" s="144">
        <f>IFERROR(IF(AND(S21="Probabilidad",S22="Probabilidad"),(AB21-(+AB21*V22)),IF(AND(S21="Impacto",S22="Probabilidad"),(AB20-(+AB20*V22)),IF(S22="Impacto",AB21,""))),"")</f>
        <v>0.12959999999999999</v>
      </c>
      <c r="AA22" s="162" t="str">
        <f t="shared" si="2"/>
        <v>Muy Baja</v>
      </c>
      <c r="AB22" s="143">
        <f t="shared" si="3"/>
        <v>0.12959999999999999</v>
      </c>
      <c r="AC22" s="162" t="str">
        <f t="shared" si="4"/>
        <v>Moderado</v>
      </c>
      <c r="AD22" s="143">
        <f>IFERROR(IF(AND(S21="Impacto",S22="Impacto"),(AD21-(+AD21*V22)),IF(AND(S21="Probabilidad",S22="Impacto"),(AD20-(+AD20*V22)),IF(S22="Probabilidad",AD21,""))),"")</f>
        <v>0.6</v>
      </c>
      <c r="AE22" s="163" t="str">
        <f t="shared" si="5"/>
        <v>Moderado</v>
      </c>
      <c r="AF22" s="142" t="s">
        <v>32</v>
      </c>
      <c r="AG22" s="139" t="s">
        <v>242</v>
      </c>
      <c r="AH22" s="304"/>
      <c r="AI22" s="302"/>
      <c r="AJ22" s="302"/>
      <c r="AK22" s="190" t="s">
        <v>468</v>
      </c>
      <c r="AL22" s="304"/>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row>
    <row r="23" spans="1:70" ht="241.5" customHeight="1" x14ac:dyDescent="0.3">
      <c r="A23" s="198">
        <v>2</v>
      </c>
      <c r="B23" s="317"/>
      <c r="C23" s="140">
        <v>2</v>
      </c>
      <c r="D23" s="139" t="s">
        <v>131</v>
      </c>
      <c r="E23" s="139" t="s">
        <v>219</v>
      </c>
      <c r="F23" s="145" t="s">
        <v>235</v>
      </c>
      <c r="G23" s="161" t="s">
        <v>218</v>
      </c>
      <c r="H23" s="139" t="s">
        <v>123</v>
      </c>
      <c r="I23" s="146">
        <v>60</v>
      </c>
      <c r="J23" s="164" t="str">
        <f>IF(I23&lt;=0,"",IF(I23&lt;=2,"Muy Baja",IF(I23&lt;=24,"Baja",IF(I23&lt;=500,"Media",IF(I23&lt;=5000,"Alta","Muy Alta")))))</f>
        <v>Media</v>
      </c>
      <c r="K23" s="147">
        <f>IF(J23="","",IF(J23="Muy Baja",0.2,IF(J23="Baja",0.4,IF(J23="Media",0.6,IF(J23="Alta",0.8,IF(J23="Muy Alta",1,))))))</f>
        <v>0.6</v>
      </c>
      <c r="L23" s="148" t="s">
        <v>149</v>
      </c>
      <c r="M23" s="147" t="str">
        <f>IF(NOT(ISERROR(MATCH(L23,'Tabla Impacto'!$B$221:$B$223,0))),'Tabla Impacto'!$F$223&amp;"Por favor no seleccionar los criterios de impacto(Afectación Económica o presupuestal y Pérdida Reputacional)",L23)</f>
        <v xml:space="preserve">     El riesgo afecta la imagen de la entidad internamente, de conocimiento general, nivel interno, de junta dircetiva y accionistas y/o de provedores</v>
      </c>
      <c r="N23" s="164" t="str">
        <f>IF(OR(M23='Tabla Impacto'!$C$11,M23='Tabla Impacto'!$D$11),"Leve",IF(OR(M23='Tabla Impacto'!$C$12,M23='Tabla Impacto'!$D$12),"Menor",IF(OR(M23='Tabla Impacto'!$C$13,M23='Tabla Impacto'!$D$13),"Moderado",IF(OR(M23='Tabla Impacto'!$C$14,M23='Tabla Impacto'!$D$14),"Mayor",IF(OR(M23='Tabla Impacto'!$C$15,M23='Tabla Impacto'!$D$15),"Catastrófico","")))))</f>
        <v>Menor</v>
      </c>
      <c r="O23" s="182">
        <f>IF(N23="","",IF(N23="Leve",0.2,IF(N23="Menor",0.4,IF(N23="Moderado",0.6,IF(N23="Mayor",0.8,IF(N23="Catastrófico",1,))))))</f>
        <v>0.4</v>
      </c>
      <c r="P23" s="141" t="str">
        <f>IF(OR(AND(J23="Muy Baja",N23="Leve"),AND(J23="Muy Baja",N23="Menor"),AND(J23="Baja",N23="Leve")),"Bajo",IF(OR(AND(J23="Muy baja",N23="Moderado"),AND(J23="Baja",N23="Menor"),AND(J23="Baja",N23="Moderado"),AND(J23="Media",N23="Leve"),AND(J23="Media",N23="Menor"),AND(J23="Media",N23="Moderado"),AND(J23="Alta",N23="Leve"),AND(J23="Alta",N23="Menor")),"Moderado",IF(OR(AND(J23="Muy Baja",N23="Mayor"),AND(J23="Baja",N23="Mayor"),AND(J23="Media",N23="Mayor"),AND(J23="Alta",N23="Moderado"),AND(J23="Alta",N23="Mayor"),AND(J23="Muy Alta",N23="Leve"),AND(J23="Muy Alta",N23="Menor"),AND(J23="Muy Alta",N23="Moderado"),AND(J23="Muy Alta",N23="Mayor")),"Alto",IF(OR(AND(J23="Muy Baja",N23="Catastrófico"),AND(J23="Baja",N23="Catastrófico"),AND(J23="Media",N23="Catastrófico"),AND(J23="Alta",N23="Catastrófico"),AND(J23="Muy Alta",N23="Catastrófico")),"Extremo",""))))</f>
        <v>Moderado</v>
      </c>
      <c r="Q23" s="140">
        <v>1</v>
      </c>
      <c r="R23" s="157" t="s">
        <v>220</v>
      </c>
      <c r="S23" s="141" t="str">
        <f t="shared" si="0"/>
        <v>Probabilidad</v>
      </c>
      <c r="T23" s="142" t="s">
        <v>14</v>
      </c>
      <c r="U23" s="142" t="s">
        <v>9</v>
      </c>
      <c r="V23" s="143" t="str">
        <f>IF(AND(T23="Preventivo",U23="Automático"),"50%",IF(AND(T23="Preventivo",U23="Manual"),"40%",IF(AND(T23="Detectivo",U23="Automático"),"40%",IF(AND(T23="Detectivo",U23="Manual"),"30%",IF(AND(T23="Correctivo",U23="Automático"),"35%",IF(AND(T23="Correctivo",U23="Manual"),"25%",""))))))</f>
        <v>40%</v>
      </c>
      <c r="W23" s="142" t="s">
        <v>19</v>
      </c>
      <c r="X23" s="142" t="s">
        <v>22</v>
      </c>
      <c r="Y23" s="142" t="s">
        <v>119</v>
      </c>
      <c r="Z23" s="144">
        <f>IFERROR(IF(S23="Probabilidad",(K23-(+K23*V23)),IF(S23="Impacto",K23,"")),"")</f>
        <v>0.36</v>
      </c>
      <c r="AA23" s="162" t="str">
        <f>IFERROR(IF(Z23="","",IF(Z23&lt;=0.2,"Muy Baja",IF(Z23&lt;=0.4,"Baja",IF(Z23&lt;=0.6,"Media",IF(Z23&lt;=0.8,"Alta","Muy Alta"))))),"")</f>
        <v>Baja</v>
      </c>
      <c r="AB23" s="143">
        <f>+Z23</f>
        <v>0.36</v>
      </c>
      <c r="AC23" s="162" t="str">
        <f>IFERROR(IF(AD23="","",IF(AD23&lt;=0.2,"Leve",IF(AD23&lt;=0.4,"Menor",IF(AD23&lt;=0.6,"Moderado",IF(AD23&lt;=0.8,"Mayor","Catastrófico"))))),"")</f>
        <v>Menor</v>
      </c>
      <c r="AD23" s="143">
        <f>IFERROR(IF(S23="Impacto",(O23-(+O23*V23)),IF(S23="Probabilidad",O23,"")),"")</f>
        <v>0.4</v>
      </c>
      <c r="AE23" s="163" t="str">
        <f>IFERROR(IF(OR(AND(AA23="Muy Baja",AC23="Leve"),AND(AA23="Muy Baja",AC23="Menor"),AND(AA23="Baja",AC23="Leve")),"Bajo",IF(OR(AND(AA23="Muy baja",AC23="Moderado"),AND(AA23="Baja",AC23="Menor"),AND(AA23="Baja",AC23="Moderado"),AND(AA23="Media",AC23="Leve"),AND(AA23="Media",AC23="Menor"),AND(AA23="Media",AC23="Moderado"),AND(AA23="Alta",AC23="Leve"),AND(AA23="Alta",AC23="Menor")),"Moderado",IF(OR(AND(AA23="Muy Baja",AC23="Mayor"),AND(AA23="Baja",AC23="Mayor"),AND(AA23="Media",AC23="Mayor"),AND(AA23="Alta",AC23="Moderado"),AND(AA23="Alta",AC23="Mayor"),AND(AA23="Muy Alta",AC23="Leve"),AND(AA23="Muy Alta",AC23="Menor"),AND(AA23="Muy Alta",AC23="Moderado"),AND(AA23="Muy Alta",AC23="Mayor")),"Alto",IF(OR(AND(AA23="Muy Baja",AC23="Catastrófico"),AND(AA23="Baja",AC23="Catastrófico"),AND(AA23="Media",AC23="Catastrófico"),AND(AA23="Alta",AC23="Catastrófico"),AND(AA23="Muy Alta",AC23="Catastrófico")),"Extremo","")))),"")</f>
        <v>Moderado</v>
      </c>
      <c r="AF23" s="142" t="s">
        <v>32</v>
      </c>
      <c r="AG23" s="139" t="s">
        <v>240</v>
      </c>
      <c r="AH23" s="146" t="s">
        <v>216</v>
      </c>
      <c r="AI23" s="206" t="s">
        <v>238</v>
      </c>
      <c r="AJ23" s="150" t="s">
        <v>486</v>
      </c>
      <c r="AK23" s="190" t="s">
        <v>467</v>
      </c>
      <c r="AL23" s="146" t="s">
        <v>41</v>
      </c>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row>
    <row r="24" spans="1:70" ht="171.75" customHeight="1" x14ac:dyDescent="0.3">
      <c r="A24" s="318">
        <v>3</v>
      </c>
      <c r="B24" s="317"/>
      <c r="C24" s="318">
        <v>3</v>
      </c>
      <c r="D24" s="304" t="s">
        <v>131</v>
      </c>
      <c r="E24" s="304" t="s">
        <v>225</v>
      </c>
      <c r="F24" s="160" t="s">
        <v>223</v>
      </c>
      <c r="G24" s="320" t="s">
        <v>221</v>
      </c>
      <c r="H24" s="304" t="s">
        <v>123</v>
      </c>
      <c r="I24" s="335">
        <v>100</v>
      </c>
      <c r="J24" s="321" t="str">
        <f>IF(I24&lt;=0,"",IF(I24&lt;=2,"Muy Baja",IF(I24&lt;=24,"Baja",IF(I24&lt;=500,"Media",IF(I24&lt;=5000,"Alta","Muy Alta")))))</f>
        <v>Media</v>
      </c>
      <c r="K24" s="310">
        <f>IF(J24="","",IF(J24="Muy Baja",0.2,IF(J24="Baja",0.4,IF(J24="Media",0.6,IF(J24="Alta",0.8,IF(J24="Muy Alta",1,))))))</f>
        <v>0.6</v>
      </c>
      <c r="L24" s="311" t="s">
        <v>151</v>
      </c>
      <c r="M24" s="147" t="str">
        <f>IF(NOT(ISERROR(MATCH(L24,'Tabla Impacto'!$B$221:$B$223,0))),'Tabla Impacto'!$F$223&amp;"Por favor no seleccionar los criterios de impacto(Afectación Económica o presupuestal y Pérdida Reputacional)",L24)</f>
        <v xml:space="preserve">     El riesgo afecta la imagen de de la entidad con efecto publicitario sostenido a nivel de sector administrativo, nivel departamental o municipal</v>
      </c>
      <c r="N24" s="321" t="str">
        <f>IF(OR(M24='Tabla Impacto'!$C$11,M24='Tabla Impacto'!$D$11),"Leve",IF(OR(M24='Tabla Impacto'!$C$12,M24='Tabla Impacto'!$D$12),"Menor",IF(OR(M24='Tabla Impacto'!$C$13,M24='Tabla Impacto'!$D$13),"Moderado",IF(OR(M24='Tabla Impacto'!$C$14,M24='Tabla Impacto'!$D$14),"Mayor",IF(OR(M24='Tabla Impacto'!$C$15,M24='Tabla Impacto'!$D$15),"Catastrófico","")))))</f>
        <v>Mayor</v>
      </c>
      <c r="O24" s="322">
        <f>IF(N24="","",IF(N24="Leve",0.2,IF(N24="Menor",0.4,IF(N24="Moderado",0.6,IF(N24="Mayor",0.8,IF(N24="Catastrófico",1,))))))</f>
        <v>0.8</v>
      </c>
      <c r="P24" s="309" t="str">
        <f>IF(OR(AND(J24="Muy Baja",N24="Leve"),AND(J24="Muy Baja",N24="Menor"),AND(J24="Baja",N24="Leve")),"Bajo",IF(OR(AND(J24="Muy baja",N24="Moderado"),AND(J24="Baja",N24="Menor"),AND(J24="Baja",N24="Moderado"),AND(J24="Media",N24="Leve"),AND(J24="Media",N24="Menor"),AND(J24="Media",N24="Moderado"),AND(J24="Alta",N24="Leve"),AND(J24="Alta",N24="Menor")),"Moderado",IF(OR(AND(J24="Muy Baja",N24="Mayor"),AND(J24="Baja",N24="Mayor"),AND(J24="Media",N24="Mayor"),AND(J24="Alta",N24="Moderado"),AND(J24="Alta",N24="Mayor"),AND(J24="Muy Alta",N24="Leve"),AND(J24="Muy Alta",N24="Menor"),AND(J24="Muy Alta",N24="Moderado"),AND(J24="Muy Alta",N24="Mayor")),"Alto",IF(OR(AND(J24="Muy Baja",N24="Catastrófico"),AND(J24="Baja",N24="Catastrófico"),AND(J24="Media",N24="Catastrófico"),AND(J24="Alta",N24="Catastrófico"),AND(J24="Muy Alta",N24="Catastrófico")),"Extremo",""))))</f>
        <v>Alto</v>
      </c>
      <c r="Q24" s="140">
        <v>1</v>
      </c>
      <c r="R24" s="157" t="s">
        <v>226</v>
      </c>
      <c r="S24" s="141" t="str">
        <f t="shared" si="0"/>
        <v>Probabilidad</v>
      </c>
      <c r="T24" s="142" t="s">
        <v>14</v>
      </c>
      <c r="U24" s="142" t="s">
        <v>9</v>
      </c>
      <c r="V24" s="143" t="str">
        <f>IF(AND(T24="Preventivo",U24="Automático"),"50%",IF(AND(T24="Preventivo",U24="Manual"),"40%",IF(AND(T24="Detectivo",U24="Automático"),"40%",IF(AND(T24="Detectivo",U24="Manual"),"30%",IF(AND(T24="Correctivo",U24="Automático"),"35%",IF(AND(T24="Correctivo",U24="Manual"),"25%",""))))))</f>
        <v>40%</v>
      </c>
      <c r="W24" s="142" t="s">
        <v>19</v>
      </c>
      <c r="X24" s="142" t="s">
        <v>22</v>
      </c>
      <c r="Y24" s="142" t="s">
        <v>119</v>
      </c>
      <c r="Z24" s="144">
        <f>IFERROR(IF(S24="Probabilidad",(K24-(+K24*V24)),IF(S24="Impacto",K24,"")),"")</f>
        <v>0.36</v>
      </c>
      <c r="AA24" s="162" t="str">
        <f>IFERROR(IF(Z24="","",IF(Z24&lt;=0.2,"Muy Baja",IF(Z24&lt;=0.4,"Baja",IF(Z24&lt;=0.6,"Media",IF(Z24&lt;=0.8,"Alta","Muy Alta"))))),"")</f>
        <v>Baja</v>
      </c>
      <c r="AB24" s="143">
        <f>+Z24</f>
        <v>0.36</v>
      </c>
      <c r="AC24" s="162" t="str">
        <f>IFERROR(IF(AD24="","",IF(AD24&lt;=0.2,"Leve",IF(AD24&lt;=0.4,"Menor",IF(AD24&lt;=0.6,"Moderado",IF(AD24&lt;=0.8,"Mayor","Catastrófico"))))),"")</f>
        <v>Mayor</v>
      </c>
      <c r="AD24" s="143">
        <f>IFERROR(IF(S24="Impacto",(O24-(+O24*V24)),IF(S24="Probabilidad",O24,"")),"")</f>
        <v>0.8</v>
      </c>
      <c r="AE24" s="163" t="str">
        <f>IFERROR(IF(OR(AND(AA24="Muy Baja",AC24="Leve"),AND(AA24="Muy Baja",AC24="Menor"),AND(AA24="Baja",AC24="Leve")),"Bajo",IF(OR(AND(AA24="Muy baja",AC24="Moderado"),AND(AA24="Baja",AC24="Menor"),AND(AA24="Baja",AC24="Moderado"),AND(AA24="Media",AC24="Leve"),AND(AA24="Media",AC24="Menor"),AND(AA24="Media",AC24="Moderado"),AND(AA24="Alta",AC24="Leve"),AND(AA24="Alta",AC24="Menor")),"Moderado",IF(OR(AND(AA24="Muy Baja",AC24="Mayor"),AND(AA24="Baja",AC24="Mayor"),AND(AA24="Media",AC24="Mayor"),AND(AA24="Alta",AC24="Moderado"),AND(AA24="Alta",AC24="Mayor"),AND(AA24="Muy Alta",AC24="Leve"),AND(AA24="Muy Alta",AC24="Menor"),AND(AA24="Muy Alta",AC24="Moderado"),AND(AA24="Muy Alta",AC24="Mayor")),"Alto",IF(OR(AND(AA24="Muy Baja",AC24="Catastrófico"),AND(AA24="Baja",AC24="Catastrófico"),AND(AA24="Media",AC24="Catastrófico"),AND(AA24="Alta",AC24="Catastrófico"),AND(AA24="Muy Alta",AC24="Catastrófico")),"Extremo","")))),"")</f>
        <v>Alto</v>
      </c>
      <c r="AF24" s="142" t="s">
        <v>135</v>
      </c>
      <c r="AG24" s="139" t="s">
        <v>243</v>
      </c>
      <c r="AH24" s="304" t="s">
        <v>216</v>
      </c>
      <c r="AI24" s="302" t="s">
        <v>238</v>
      </c>
      <c r="AJ24" s="302" t="s">
        <v>486</v>
      </c>
      <c r="AK24" s="159" t="s">
        <v>469</v>
      </c>
      <c r="AL24" s="304" t="s">
        <v>41</v>
      </c>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row>
    <row r="25" spans="1:70" ht="243" customHeight="1" x14ac:dyDescent="0.3">
      <c r="A25" s="318"/>
      <c r="B25" s="317"/>
      <c r="C25" s="318"/>
      <c r="D25" s="304"/>
      <c r="E25" s="304"/>
      <c r="F25" s="145" t="s">
        <v>222</v>
      </c>
      <c r="G25" s="320"/>
      <c r="H25" s="304"/>
      <c r="I25" s="335"/>
      <c r="J25" s="321"/>
      <c r="K25" s="310"/>
      <c r="L25" s="311"/>
      <c r="M25" s="147">
        <f>IF(NOT(ISERROR(MATCH(L25,_xlfn.ANCHORARRAY(G30),0))),#REF!&amp;"Por favor no seleccionar los criterios de impacto",L25)</f>
        <v>0</v>
      </c>
      <c r="N25" s="321"/>
      <c r="O25" s="322"/>
      <c r="P25" s="309"/>
      <c r="Q25" s="140">
        <v>2</v>
      </c>
      <c r="R25" s="157" t="s">
        <v>227</v>
      </c>
      <c r="S25" s="141" t="str">
        <f t="shared" si="0"/>
        <v>Probabilidad</v>
      </c>
      <c r="T25" s="142" t="s">
        <v>14</v>
      </c>
      <c r="U25" s="142" t="s">
        <v>9</v>
      </c>
      <c r="V25" s="143" t="str">
        <f t="shared" ref="V25:V26" si="6">IF(AND(T25="Preventivo",U25="Automático"),"50%",IF(AND(T25="Preventivo",U25="Manual"),"40%",IF(AND(T25="Detectivo",U25="Automático"),"40%",IF(AND(T25="Detectivo",U25="Manual"),"30%",IF(AND(T25="Correctivo",U25="Automático"),"35%",IF(AND(T25="Correctivo",U25="Manual"),"25%",""))))))</f>
        <v>40%</v>
      </c>
      <c r="W25" s="142" t="s">
        <v>19</v>
      </c>
      <c r="X25" s="142" t="s">
        <v>22</v>
      </c>
      <c r="Y25" s="142" t="s">
        <v>119</v>
      </c>
      <c r="Z25" s="151">
        <f>IFERROR(IF(AND(S24="Probabilidad",S25="Probabilidad"),(AB24-(+AB24*V25)),IF(S25="Probabilidad",(K24-(+K24*V25)),IF(S25="Impacto",AB24,""))),"")</f>
        <v>0.216</v>
      </c>
      <c r="AA25" s="162" t="str">
        <f t="shared" si="2"/>
        <v>Baja</v>
      </c>
      <c r="AB25" s="143">
        <f t="shared" ref="AB25:AB26" si="7">+Z25</f>
        <v>0.216</v>
      </c>
      <c r="AC25" s="162" t="str">
        <f t="shared" si="4"/>
        <v>Menor</v>
      </c>
      <c r="AD25" s="143">
        <f>IFERROR(IF(AND(S24="Impacto",S25="Impacto"),(AD23-(+AD23*V25)),IF(S25="Impacto",($O$24-(+$O$24*V25)),IF(S25="Probabilidad",AD23,""))),"")</f>
        <v>0.4</v>
      </c>
      <c r="AE25" s="163" t="str">
        <f t="shared" ref="AE25:AE26" si="8">IFERROR(IF(OR(AND(AA25="Muy Baja",AC25="Leve"),AND(AA25="Muy Baja",AC25="Menor"),AND(AA25="Baja",AC25="Leve")),"Bajo",IF(OR(AND(AA25="Muy baja",AC25="Moderado"),AND(AA25="Baja",AC25="Menor"),AND(AA25="Baja",AC25="Moderado"),AND(AA25="Media",AC25="Leve"),AND(AA25="Media",AC25="Menor"),AND(AA25="Media",AC25="Moderado"),AND(AA25="Alta",AC25="Leve"),AND(AA25="Alta",AC25="Menor")),"Moderado",IF(OR(AND(AA25="Muy Baja",AC25="Mayor"),AND(AA25="Baja",AC25="Mayor"),AND(AA25="Media",AC25="Mayor"),AND(AA25="Alta",AC25="Moderado"),AND(AA25="Alta",AC25="Mayor"),AND(AA25="Muy Alta",AC25="Leve"),AND(AA25="Muy Alta",AC25="Menor"),AND(AA25="Muy Alta",AC25="Moderado"),AND(AA25="Muy Alta",AC25="Mayor")),"Alto",IF(OR(AND(AA25="Muy Baja",AC25="Catastrófico"),AND(AA25="Baja",AC25="Catastrófico"),AND(AA25="Media",AC25="Catastrófico"),AND(AA25="Alta",AC25="Catastrófico"),AND(AA25="Muy Alta",AC25="Catastrófico")),"Extremo","")))),"")</f>
        <v>Moderado</v>
      </c>
      <c r="AF25" s="142" t="s">
        <v>135</v>
      </c>
      <c r="AG25" s="139" t="s">
        <v>244</v>
      </c>
      <c r="AH25" s="304"/>
      <c r="AI25" s="302"/>
      <c r="AJ25" s="302"/>
      <c r="AK25" s="159" t="s">
        <v>470</v>
      </c>
      <c r="AL25" s="304"/>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row>
    <row r="26" spans="1:70" ht="228" customHeight="1" x14ac:dyDescent="0.3">
      <c r="A26" s="318"/>
      <c r="B26" s="317"/>
      <c r="C26" s="318"/>
      <c r="D26" s="304"/>
      <c r="E26" s="304"/>
      <c r="F26" s="160" t="s">
        <v>224</v>
      </c>
      <c r="G26" s="320"/>
      <c r="H26" s="304"/>
      <c r="I26" s="335"/>
      <c r="J26" s="321"/>
      <c r="K26" s="310"/>
      <c r="L26" s="311"/>
      <c r="M26" s="147">
        <f>IF(NOT(ISERROR(MATCH(L26,_xlfn.ANCHORARRAY(#REF!),0))),#REF!&amp;"Por favor no seleccionar los criterios de impacto",L26)</f>
        <v>0</v>
      </c>
      <c r="N26" s="321"/>
      <c r="O26" s="322"/>
      <c r="P26" s="309"/>
      <c r="Q26" s="140">
        <v>3</v>
      </c>
      <c r="R26" s="152" t="s">
        <v>228</v>
      </c>
      <c r="S26" s="141" t="str">
        <f t="shared" si="0"/>
        <v>Probabilidad</v>
      </c>
      <c r="T26" s="142" t="s">
        <v>14</v>
      </c>
      <c r="U26" s="142" t="s">
        <v>9</v>
      </c>
      <c r="V26" s="143" t="str">
        <f t="shared" si="6"/>
        <v>40%</v>
      </c>
      <c r="W26" s="142" t="s">
        <v>19</v>
      </c>
      <c r="X26" s="142" t="s">
        <v>22</v>
      </c>
      <c r="Y26" s="142" t="s">
        <v>119</v>
      </c>
      <c r="Z26" s="144">
        <f>IFERROR(IF(AND(S25="Probabilidad",S26="Probabilidad"),(AB25-(+AB25*V26)),IF(AND(S25="Impacto",S26="Probabilidad"),(AB24-(+AB24*V26)),IF(S26="Impacto",AB25,""))),"")</f>
        <v>0.12959999999999999</v>
      </c>
      <c r="AA26" s="162" t="str">
        <f t="shared" si="2"/>
        <v>Muy Baja</v>
      </c>
      <c r="AB26" s="143">
        <f t="shared" si="7"/>
        <v>0.12959999999999999</v>
      </c>
      <c r="AC26" s="162" t="str">
        <f t="shared" si="4"/>
        <v>Menor</v>
      </c>
      <c r="AD26" s="143">
        <f>IFERROR(IF(AND(S25="Impacto",S26="Impacto"),(AD25-(+AD25*V26)),IF(AND(S25="Probabilidad",S26="Impacto"),(AD24-(+AD24*V26)),IF(S26="Probabilidad",AD25,""))),"")</f>
        <v>0.4</v>
      </c>
      <c r="AE26" s="163" t="str">
        <f t="shared" si="8"/>
        <v>Bajo</v>
      </c>
      <c r="AF26" s="142"/>
      <c r="AG26" s="139" t="s">
        <v>245</v>
      </c>
      <c r="AH26" s="304"/>
      <c r="AI26" s="302"/>
      <c r="AJ26" s="302"/>
      <c r="AK26" s="159" t="s">
        <v>470</v>
      </c>
      <c r="AL26" s="30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row>
    <row r="27" spans="1:70" ht="151.5" customHeight="1" x14ac:dyDescent="0.3">
      <c r="A27" s="318">
        <v>4</v>
      </c>
      <c r="B27" s="317"/>
      <c r="C27" s="318">
        <v>4</v>
      </c>
      <c r="D27" s="304" t="s">
        <v>132</v>
      </c>
      <c r="E27" s="304" t="s">
        <v>230</v>
      </c>
      <c r="F27" s="145" t="s">
        <v>231</v>
      </c>
      <c r="G27" s="320" t="s">
        <v>229</v>
      </c>
      <c r="H27" s="304" t="s">
        <v>123</v>
      </c>
      <c r="I27" s="335">
        <v>100</v>
      </c>
      <c r="J27" s="321" t="str">
        <f>IF(I27&lt;=0,"",IF(I27&lt;=2,"Muy Baja",IF(I27&lt;=24,"Baja",IF(I27&lt;=500,"Media",IF(I27&lt;=5000,"Alta","Muy Alta")))))</f>
        <v>Media</v>
      </c>
      <c r="K27" s="310">
        <f>IF(J27="","",IF(J27="Muy Baja",0.2,IF(J27="Baja",0.4,IF(J27="Media",0.6,IF(J27="Alta",0.8,IF(J27="Muy Alta",1,))))))</f>
        <v>0.6</v>
      </c>
      <c r="L27" s="311" t="s">
        <v>144</v>
      </c>
      <c r="M27" s="310" t="str">
        <f>IF(NOT(ISERROR(MATCH(L27,'Tabla Impacto'!$B$221:$B$223,0))),'Tabla Impacto'!$F$223&amp;"Por favor no seleccionar los criterios de impacto(Afectación Económica o presupuestal y Pérdida Reputacional)",L27)</f>
        <v xml:space="preserve">     Entre 50 y 100 SMLMV </v>
      </c>
      <c r="N27" s="321" t="str">
        <f>IF(OR(M27='Tabla Impacto'!$C$11,M27='Tabla Impacto'!$D$11),"Leve",IF(OR(M27='Tabla Impacto'!$C$12,M27='Tabla Impacto'!$D$12),"Menor",IF(OR(M27='Tabla Impacto'!$C$13,M27='Tabla Impacto'!$D$13),"Moderado",IF(OR(M27='Tabla Impacto'!$C$14,M27='Tabla Impacto'!$D$14),"Mayor",IF(OR(M27='Tabla Impacto'!$C$15,M27='Tabla Impacto'!$D$15),"Catastrófico","")))))</f>
        <v>Moderado</v>
      </c>
      <c r="O27" s="322">
        <f>IF(N27="","",IF(N27="Leve",0.2,IF(N27="Menor",0.4,IF(N27="Moderado",0.6,IF(N27="Mayor",0.8,IF(N27="Catastrófico",1,))))))</f>
        <v>0.6</v>
      </c>
      <c r="P27" s="309" t="str">
        <f>IF(OR(AND(J27="Muy Baja",N27="Leve"),AND(J27="Muy Baja",N27="Menor"),AND(J27="Baja",N27="Leve")),"Bajo",IF(OR(AND(J27="Muy baja",N27="Moderado"),AND(J27="Baja",N27="Menor"),AND(J27="Baja",N27="Moderado"),AND(J27="Media",N27="Leve"),AND(J27="Media",N27="Menor"),AND(J27="Media",N27="Moderado"),AND(J27="Alta",N27="Leve"),AND(J27="Alta",N27="Menor")),"Moderado",IF(OR(AND(J27="Muy Baja",N27="Mayor"),AND(J27="Baja",N27="Mayor"),AND(J27="Media",N27="Mayor"),AND(J27="Alta",N27="Moderado"),AND(J27="Alta",N27="Mayor"),AND(J27="Muy Alta",N27="Leve"),AND(J27="Muy Alta",N27="Menor"),AND(J27="Muy Alta",N27="Moderado"),AND(J27="Muy Alta",N27="Mayor")),"Alto",IF(OR(AND(J27="Muy Baja",N27="Catastrófico"),AND(J27="Baja",N27="Catastrófico"),AND(J27="Media",N27="Catastrófico"),AND(J27="Alta",N27="Catastrófico"),AND(J27="Muy Alta",N27="Catastrófico")),"Extremo",""))))</f>
        <v>Moderado</v>
      </c>
      <c r="Q27" s="140">
        <v>1</v>
      </c>
      <c r="R27" s="157" t="s">
        <v>233</v>
      </c>
      <c r="S27" s="141" t="str">
        <f t="shared" si="0"/>
        <v>Probabilidad</v>
      </c>
      <c r="T27" s="142" t="s">
        <v>14</v>
      </c>
      <c r="U27" s="142" t="s">
        <v>9</v>
      </c>
      <c r="V27" s="143" t="str">
        <f>IF(AND(T27="Preventivo",U27="Automático"),"50%",IF(AND(T27="Preventivo",U27="Manual"),"40%",IF(AND(T27="Detectivo",U27="Automático"),"40%",IF(AND(T27="Detectivo",U27="Manual"),"30%",IF(AND(T27="Correctivo",U27="Automático"),"35%",IF(AND(T27="Correctivo",U27="Manual"),"25%",""))))))</f>
        <v>40%</v>
      </c>
      <c r="W27" s="142" t="s">
        <v>19</v>
      </c>
      <c r="X27" s="142" t="s">
        <v>22</v>
      </c>
      <c r="Y27" s="142" t="s">
        <v>119</v>
      </c>
      <c r="Z27" s="144">
        <f>IFERROR(IF(S27="Probabilidad",(K27-(+K27*V27)),IF(S27="Impacto",K27,"")),"")</f>
        <v>0.36</v>
      </c>
      <c r="AA27" s="162" t="str">
        <f>IFERROR(IF(Z27="","",IF(Z27&lt;=0.2,"Muy Baja",IF(Z27&lt;=0.4,"Baja",IF(Z27&lt;=0.6,"Media",IF(Z27&lt;=0.8,"Alta","Muy Alta"))))),"")</f>
        <v>Baja</v>
      </c>
      <c r="AB27" s="143">
        <f>+Z27</f>
        <v>0.36</v>
      </c>
      <c r="AC27" s="162" t="str">
        <f>IFERROR(IF(AD27="","",IF(AD27&lt;=0.2,"Leve",IF(AD27&lt;=0.4,"Menor",IF(AD27&lt;=0.6,"Moderado",IF(AD27&lt;=0.8,"Mayor","Catastrófico"))))),"")</f>
        <v>Moderado</v>
      </c>
      <c r="AD27" s="143">
        <f>IFERROR(IF(S27="Impacto",(O27-(+O27*V27)),IF(S27="Probabilidad",O27,"")),"")</f>
        <v>0.6</v>
      </c>
      <c r="AE27" s="163" t="str">
        <f>IFERROR(IF(OR(AND(AA27="Muy Baja",AC27="Leve"),AND(AA27="Muy Baja",AC27="Menor"),AND(AA27="Baja",AC27="Leve")),"Bajo",IF(OR(AND(AA27="Muy baja",AC27="Moderado"),AND(AA27="Baja",AC27="Menor"),AND(AA27="Baja",AC27="Moderado"),AND(AA27="Media",AC27="Leve"),AND(AA27="Media",AC27="Menor"),AND(AA27="Media",AC27="Moderado"),AND(AA27="Alta",AC27="Leve"),AND(AA27="Alta",AC27="Menor")),"Moderado",IF(OR(AND(AA27="Muy Baja",AC27="Mayor"),AND(AA27="Baja",AC27="Mayor"),AND(AA27="Media",AC27="Mayor"),AND(AA27="Alta",AC27="Moderado"),AND(AA27="Alta",AC27="Mayor"),AND(AA27="Muy Alta",AC27="Leve"),AND(AA27="Muy Alta",AC27="Menor"),AND(AA27="Muy Alta",AC27="Moderado"),AND(AA27="Muy Alta",AC27="Mayor")),"Alto",IF(OR(AND(AA27="Muy Baja",AC27="Catastrófico"),AND(AA27="Baja",AC27="Catastrófico"),AND(AA27="Media",AC27="Catastrófico"),AND(AA27="Alta",AC27="Catastrófico"),AND(AA27="Muy Alta",AC27="Catastrófico")),"Extremo","")))),"")</f>
        <v>Moderado</v>
      </c>
      <c r="AF27" s="142" t="s">
        <v>135</v>
      </c>
      <c r="AG27" s="139" t="s">
        <v>240</v>
      </c>
      <c r="AH27" s="304" t="s">
        <v>216</v>
      </c>
      <c r="AI27" s="302" t="s">
        <v>238</v>
      </c>
      <c r="AJ27" s="302" t="s">
        <v>486</v>
      </c>
      <c r="AK27" s="159" t="s">
        <v>471</v>
      </c>
      <c r="AL27" s="304" t="s">
        <v>41</v>
      </c>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row>
    <row r="28" spans="1:70" ht="151.5" customHeight="1" x14ac:dyDescent="0.3">
      <c r="A28" s="318"/>
      <c r="B28" s="317"/>
      <c r="C28" s="318"/>
      <c r="D28" s="304"/>
      <c r="E28" s="304"/>
      <c r="F28" s="160" t="s">
        <v>263</v>
      </c>
      <c r="G28" s="320"/>
      <c r="H28" s="304"/>
      <c r="I28" s="335"/>
      <c r="J28" s="321"/>
      <c r="K28" s="310"/>
      <c r="L28" s="311"/>
      <c r="M28" s="310"/>
      <c r="N28" s="321"/>
      <c r="O28" s="322"/>
      <c r="P28" s="309"/>
      <c r="Q28" s="140">
        <v>2</v>
      </c>
      <c r="R28" s="157" t="s">
        <v>258</v>
      </c>
      <c r="S28" s="141" t="s">
        <v>259</v>
      </c>
      <c r="T28" s="142" t="s">
        <v>14</v>
      </c>
      <c r="U28" s="142" t="s">
        <v>9</v>
      </c>
      <c r="V28" s="143"/>
      <c r="W28" s="142" t="s">
        <v>19</v>
      </c>
      <c r="X28" s="142" t="s">
        <v>22</v>
      </c>
      <c r="Y28" s="142" t="s">
        <v>119</v>
      </c>
      <c r="Z28" s="144"/>
      <c r="AA28" s="162" t="s">
        <v>260</v>
      </c>
      <c r="AB28" s="143">
        <v>0.22</v>
      </c>
      <c r="AC28" s="162" t="s">
        <v>261</v>
      </c>
      <c r="AD28" s="143">
        <v>0.8</v>
      </c>
      <c r="AE28" s="163" t="s">
        <v>262</v>
      </c>
      <c r="AF28" s="142" t="s">
        <v>135</v>
      </c>
      <c r="AG28" s="139" t="s">
        <v>264</v>
      </c>
      <c r="AH28" s="304"/>
      <c r="AI28" s="302"/>
      <c r="AJ28" s="302"/>
      <c r="AK28" s="159" t="s">
        <v>471</v>
      </c>
      <c r="AL28" s="304"/>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row>
    <row r="29" spans="1:70" ht="144.75" customHeight="1" x14ac:dyDescent="0.3">
      <c r="A29" s="318"/>
      <c r="B29" s="317"/>
      <c r="C29" s="318"/>
      <c r="D29" s="304"/>
      <c r="E29" s="304"/>
      <c r="F29" s="145" t="s">
        <v>232</v>
      </c>
      <c r="G29" s="320"/>
      <c r="H29" s="304"/>
      <c r="I29" s="335"/>
      <c r="J29" s="321"/>
      <c r="K29" s="310"/>
      <c r="L29" s="311"/>
      <c r="M29" s="310">
        <f>IF(NOT(ISERROR(MATCH(L29,_xlfn.ANCHORARRAY(#REF!),0))),#REF!&amp;"Por favor no seleccionar los criterios de impacto",L29)</f>
        <v>0</v>
      </c>
      <c r="N29" s="321"/>
      <c r="O29" s="322"/>
      <c r="P29" s="309"/>
      <c r="Q29" s="140">
        <v>3</v>
      </c>
      <c r="R29" s="157" t="s">
        <v>234</v>
      </c>
      <c r="S29" s="141" t="str">
        <f t="shared" si="0"/>
        <v>Probabilidad</v>
      </c>
      <c r="T29" s="142" t="s">
        <v>14</v>
      </c>
      <c r="U29" s="142" t="s">
        <v>9</v>
      </c>
      <c r="V29" s="143" t="str">
        <f t="shared" ref="V29" si="9">IF(AND(T29="Preventivo",U29="Automático"),"50%",IF(AND(T29="Preventivo",U29="Manual"),"40%",IF(AND(T29="Detectivo",U29="Automático"),"40%",IF(AND(T29="Detectivo",U29="Manual"),"30%",IF(AND(T29="Correctivo",U29="Automático"),"35%",IF(AND(T29="Correctivo",U29="Manual"),"25%",""))))))</f>
        <v>40%</v>
      </c>
      <c r="W29" s="142" t="s">
        <v>19</v>
      </c>
      <c r="X29" s="142" t="s">
        <v>22</v>
      </c>
      <c r="Y29" s="142" t="s">
        <v>119</v>
      </c>
      <c r="Z29" s="144">
        <f>IFERROR(IF(AND(S27="Probabilidad",S29="Probabilidad"),(AB27-(+AB27*V29)),IF(S29="Probabilidad",(K27-(+K27*V29)),IF(S29="Impacto",AB27,""))),"")</f>
        <v>0.216</v>
      </c>
      <c r="AA29" s="162" t="str">
        <f t="shared" si="2"/>
        <v>Baja</v>
      </c>
      <c r="AB29" s="143">
        <f t="shared" ref="AB29" si="10">+Z29</f>
        <v>0.216</v>
      </c>
      <c r="AC29" s="162" t="str">
        <f t="shared" si="4"/>
        <v>Mayor</v>
      </c>
      <c r="AD29" s="143">
        <f>IFERROR(IF(AND(S27="Impacto",S29="Impacto"),(AD24-(+AD24*V29)),IF(S29="Impacto",($O$27-(+$O$27*V29)),IF(S29="Probabilidad",AD24,""))),"")</f>
        <v>0.8</v>
      </c>
      <c r="AE29" s="163" t="str">
        <f t="shared" ref="AE29" si="11">IFERROR(IF(OR(AND(AA29="Muy Baja",AC29="Leve"),AND(AA29="Muy Baja",AC29="Menor"),AND(AA29="Baja",AC29="Leve")),"Bajo",IF(OR(AND(AA29="Muy baja",AC29="Moderado"),AND(AA29="Baja",AC29="Menor"),AND(AA29="Baja",AC29="Moderado"),AND(AA29="Media",AC29="Leve"),AND(AA29="Media",AC29="Menor"),AND(AA29="Media",AC29="Moderado"),AND(AA29="Alta",AC29="Leve"),AND(AA29="Alta",AC29="Menor")),"Moderado",IF(OR(AND(AA29="Muy Baja",AC29="Mayor"),AND(AA29="Baja",AC29="Mayor"),AND(AA29="Media",AC29="Mayor"),AND(AA29="Alta",AC29="Moderado"),AND(AA29="Alta",AC29="Mayor"),AND(AA29="Muy Alta",AC29="Leve"),AND(AA29="Muy Alta",AC29="Menor"),AND(AA29="Muy Alta",AC29="Moderado"),AND(AA29="Muy Alta",AC29="Mayor")),"Alto",IF(OR(AND(AA29="Muy Baja",AC29="Catastrófico"),AND(AA29="Baja",AC29="Catastrófico"),AND(AA29="Media",AC29="Catastrófico"),AND(AA29="Alta",AC29="Catastrófico"),AND(AA29="Muy Alta",AC29="Catastrófico")),"Extremo","")))),"")</f>
        <v>Alto</v>
      </c>
      <c r="AF29" s="142" t="s">
        <v>135</v>
      </c>
      <c r="AG29" s="139" t="s">
        <v>246</v>
      </c>
      <c r="AH29" s="304"/>
      <c r="AI29" s="302"/>
      <c r="AJ29" s="302"/>
      <c r="AK29" s="159" t="s">
        <v>472</v>
      </c>
      <c r="AL29" s="304"/>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row>
    <row r="30" spans="1:70" ht="207" customHeight="1" x14ac:dyDescent="0.3">
      <c r="A30" s="198">
        <v>5</v>
      </c>
      <c r="B30" s="317"/>
      <c r="C30" s="140">
        <v>5</v>
      </c>
      <c r="D30" s="139" t="s">
        <v>131</v>
      </c>
      <c r="E30" s="139" t="s">
        <v>230</v>
      </c>
      <c r="F30" s="139" t="s">
        <v>237</v>
      </c>
      <c r="G30" s="161" t="s">
        <v>236</v>
      </c>
      <c r="H30" s="139" t="s">
        <v>125</v>
      </c>
      <c r="I30" s="146">
        <v>180</v>
      </c>
      <c r="J30" s="164" t="str">
        <f>IF(I30&lt;=0,"",IF(I30&lt;=2,"Muy Baja",IF(I30&lt;=24,"Baja",IF(I30&lt;=500,"Media",IF(I30&lt;=5000,"Alta","Muy Alta")))))</f>
        <v>Media</v>
      </c>
      <c r="K30" s="147">
        <f>IF(J30="","",IF(J30="Muy Baja",0.2,IF(J30="Baja",0.4,IF(J30="Media",0.6,IF(J30="Alta",0.8,IF(J30="Muy Alta",1,))))))</f>
        <v>0.6</v>
      </c>
      <c r="L30" s="148" t="s">
        <v>152</v>
      </c>
      <c r="M30" s="147" t="str">
        <f>IF(NOT(ISERROR(MATCH(L30,'Tabla Impacto'!$B$221:$B$223,0))),'Tabla Impacto'!$F$223&amp;"Por favor no seleccionar los criterios de impacto(Afectación Económica o presupuestal y Pérdida Reputacional)",L30)</f>
        <v xml:space="preserve">     El riesgo afecta la imagen de la entidad a nivel nacional, con efecto publicitarios sostenible a nivel país</v>
      </c>
      <c r="N30" s="164" t="str">
        <f>IF(OR(M30='Tabla Impacto'!$C$11,M30='Tabla Impacto'!$D$11),"Leve",IF(OR(M30='Tabla Impacto'!$C$12,M30='Tabla Impacto'!$D$12),"Menor",IF(OR(M30='Tabla Impacto'!$C$13,M30='Tabla Impacto'!$D$13),"Moderado",IF(OR(M30='Tabla Impacto'!$C$14,M30='Tabla Impacto'!$D$14),"Mayor",IF(OR(M30='Tabla Impacto'!$C$15,M30='Tabla Impacto'!$D$15),"Catastrófico","")))))</f>
        <v>Catastrófico</v>
      </c>
      <c r="O30" s="182">
        <f>IF(N30="","",IF(N30="Leve",0.2,IF(N30="Menor",0.4,IF(N30="Moderado",0.6,IF(N30="Mayor",0.8,IF(N30="Catastrófico",1,))))))</f>
        <v>1</v>
      </c>
      <c r="P30" s="141" t="str">
        <f t="shared" ref="P30:P35" si="12">IF(OR(AND(J30="Muy Baja",N30="Leve"),AND(J30="Muy Baja",N30="Menor"),AND(J30="Baja",N30="Leve")),"Bajo",IF(OR(AND(J30="Muy baja",N30="Moderado"),AND(J30="Baja",N30="Menor"),AND(J30="Baja",N30="Moderado"),AND(J30="Media",N30="Leve"),AND(J30="Media",N30="Menor"),AND(J30="Media",N30="Moderado"),AND(J30="Alta",N30="Leve"),AND(J30="Alta",N30="Menor")),"Moderado",IF(OR(AND(J30="Muy Baja",N30="Mayor"),AND(J30="Baja",N30="Mayor"),AND(J30="Media",N30="Mayor"),AND(J30="Alta",N30="Moderado"),AND(J30="Alta",N30="Mayor"),AND(J30="Muy Alta",N30="Leve"),AND(J30="Muy Alta",N30="Menor"),AND(J30="Muy Alta",N30="Moderado"),AND(J30="Muy Alta",N30="Mayor")),"Alto",IF(OR(AND(J30="Muy Baja",N30="Catastrófico"),AND(J30="Baja",N30="Catastrófico"),AND(J30="Media",N30="Catastrófico"),AND(J30="Alta",N30="Catastrófico"),AND(J30="Muy Alta",N30="Catastrófico")),"Extremo",""))))</f>
        <v>Extremo</v>
      </c>
      <c r="Q30" s="140">
        <v>1</v>
      </c>
      <c r="R30" s="139" t="s">
        <v>213</v>
      </c>
      <c r="S30" s="141" t="str">
        <f t="shared" si="0"/>
        <v>Probabilidad</v>
      </c>
      <c r="T30" s="142" t="s">
        <v>14</v>
      </c>
      <c r="U30" s="142" t="s">
        <v>9</v>
      </c>
      <c r="V30" s="143" t="str">
        <f t="shared" ref="V30:V63" si="13">IF(AND(T30="Preventivo",U30="Automático"),"50%",IF(AND(T30="Preventivo",U30="Manual"),"40%",IF(AND(T30="Detectivo",U30="Automático"),"40%",IF(AND(T30="Detectivo",U30="Manual"),"30%",IF(AND(T30="Correctivo",U30="Automático"),"35%",IF(AND(T30="Correctivo",U30="Manual"),"25%",""))))))</f>
        <v>40%</v>
      </c>
      <c r="W30" s="142" t="s">
        <v>19</v>
      </c>
      <c r="X30" s="142" t="s">
        <v>22</v>
      </c>
      <c r="Y30" s="142" t="s">
        <v>119</v>
      </c>
      <c r="Z30" s="144">
        <f>IFERROR(IF(S30="Probabilidad",(K30-(+K30*V30)),IF(S30="Impacto",K30,"")),"")</f>
        <v>0.36</v>
      </c>
      <c r="AA30" s="162" t="str">
        <f t="shared" ref="AA30:AA35" si="14">IFERROR(IF(Z30="","",IF(Z30&lt;=0.2,"Muy Baja",IF(Z30&lt;=0.4,"Baja",IF(Z30&lt;=0.6,"Media",IF(Z30&lt;=0.8,"Alta","Muy Alta"))))),"")</f>
        <v>Baja</v>
      </c>
      <c r="AB30" s="143">
        <f>+Z30</f>
        <v>0.36</v>
      </c>
      <c r="AC30" s="162" t="str">
        <f t="shared" ref="AC30:AC35" si="15">IFERROR(IF(AD30="","",IF(AD30&lt;=0.2,"Leve",IF(AD30&lt;=0.4,"Menor",IF(AD30&lt;=0.6,"Moderado",IF(AD30&lt;=0.8,"Mayor","Catastrófico"))))),"")</f>
        <v>Catastrófico</v>
      </c>
      <c r="AD30" s="143">
        <f t="shared" ref="AD30:AD35" si="16">IFERROR(IF(S30="Impacto",(O30-(+O30*V30)),IF(S30="Probabilidad",O30,"")),"")</f>
        <v>1</v>
      </c>
      <c r="AE30" s="163" t="str">
        <f>IFERROR(IF(OR(AND(AA30="Muy Baja",AC30="Leve"),AND(AA30="Muy Baja",AC30="Menor"),AND(AA30="Baja",AC30="Leve")),"Bajo",IF(OR(AND(AA30="Muy baja",AC30="Moderado"),AND(AA30="Baja",AC30="Menor"),AND(AA30="Baja",AC30="Moderado"),AND(AA30="Media",AC30="Leve"),AND(AA30="Media",AC30="Menor"),AND(AA30="Media",AC30="Moderado"),AND(AA30="Alta",AC30="Leve"),AND(AA30="Alta",AC30="Menor")),"Moderado",IF(OR(AND(AA30="Muy Baja",AC30="Mayor"),AND(AA30="Baja",AC30="Mayor"),AND(AA30="Media",AC30="Mayor"),AND(AA30="Alta",AC30="Moderado"),AND(AA30="Alta",AC30="Mayor"),AND(AA30="Muy Alta",AC30="Leve"),AND(AA30="Muy Alta",AC30="Menor"),AND(AA30="Muy Alta",AC30="Moderado"),AND(AA30="Muy Alta",AC30="Mayor")),"Alto",IF(OR(AND(AA30="Muy Baja",AC30="Catastrófico"),AND(AA30="Baja",AC30="Catastrófico"),AND(AA30="Media",AC30="Catastrófico"),AND(AA30="Alta",AC30="Catastrófico"),AND(AA30="Muy Alta",AC30="Catastrófico")),"Extremo","")))),"")</f>
        <v>Extremo</v>
      </c>
      <c r="AF30" s="142" t="s">
        <v>32</v>
      </c>
      <c r="AG30" s="139" t="s">
        <v>240</v>
      </c>
      <c r="AH30" s="139" t="s">
        <v>216</v>
      </c>
      <c r="AI30" s="150" t="s">
        <v>238</v>
      </c>
      <c r="AJ30" s="237" t="s">
        <v>486</v>
      </c>
      <c r="AK30" s="238" t="s">
        <v>239</v>
      </c>
      <c r="AL30" s="139" t="s">
        <v>41</v>
      </c>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row>
    <row r="31" spans="1:70" ht="207" customHeight="1" x14ac:dyDescent="0.3">
      <c r="A31" s="366">
        <v>6</v>
      </c>
      <c r="B31" s="317" t="s">
        <v>492</v>
      </c>
      <c r="C31" s="366">
        <v>1</v>
      </c>
      <c r="D31" s="367" t="s">
        <v>133</v>
      </c>
      <c r="E31" s="367" t="s">
        <v>494</v>
      </c>
      <c r="F31" s="368" t="s">
        <v>495</v>
      </c>
      <c r="G31" s="371" t="s">
        <v>496</v>
      </c>
      <c r="H31" s="368" t="s">
        <v>125</v>
      </c>
      <c r="I31" s="374">
        <v>90</v>
      </c>
      <c r="J31" s="232" t="str">
        <f>IF(I31&lt;=0,"",IF(I31&lt;=2,"Muy Baja",IF(I31&lt;=24,"Baja",IF(I31&lt;=500,"Media",IF(I31&lt;=5000,"Alta","Muy Alta")))))</f>
        <v>Media</v>
      </c>
      <c r="K31" s="377">
        <f>IF(J31="","",IF(J31="Muy Baja",0.2,IF(J31="Baja",0.4,IF(J31="Media",0.6,IF(J31="Alta",0.8,IF(J31="Muy Alta",1,))))))</f>
        <v>0.6</v>
      </c>
      <c r="L31" s="380" t="s">
        <v>150</v>
      </c>
      <c r="M31" s="310" t="str">
        <f>IF(NOT(ISERROR(MATCH(L31,'[1]Tabla Impacto'!$B$221:$B$223,0))),'[1]Tabla Impacto'!$F$223&amp;"Por favor no seleccionar los criterios de impacto(Afectación Económica o presupuestal y Pérdida Reputacional)",L31)</f>
        <v xml:space="preserve">     El riesgo afecta la imagen de la entidad con algunos usuarios de relevancia frente al logro de los objetivos</v>
      </c>
      <c r="N31" s="232" t="str">
        <f>IF(OR(M31='Tabla Impacto'!$C$11,M31='Tabla Impacto'!$D$11),"Leve",IF(OR(M31='Tabla Impacto'!$C$12,M31='Tabla Impacto'!$D$12),"Menor",IF(OR(M31='Tabla Impacto'!$C$13,M31='Tabla Impacto'!$D$13),"Moderado",IF(OR(M31='Tabla Impacto'!$C$14,M31='Tabla Impacto'!$D$14),"Mayor",IF(OR(M31='Tabla Impacto'!$C$15,M31='Tabla Impacto'!$D$15),"Catastrófico","")))))</f>
        <v>Moderado</v>
      </c>
      <c r="O31" s="377">
        <f>IF(N31="","",IF(N31="Leve",0.2,IF(N31="Menor",0.4,IF(N31="Moderado",0.6,IF(N31="Mayor",0.8,IF(N31="Catastrófico",1,))))))</f>
        <v>0.6</v>
      </c>
      <c r="P31" s="233" t="str">
        <f t="shared" si="12"/>
        <v>Moderado</v>
      </c>
      <c r="Q31" s="230">
        <v>1</v>
      </c>
      <c r="R31" s="234" t="s">
        <v>497</v>
      </c>
      <c r="S31" s="233" t="str">
        <f t="shared" si="0"/>
        <v>Probabilidad</v>
      </c>
      <c r="T31" s="142" t="s">
        <v>14</v>
      </c>
      <c r="U31" s="142" t="s">
        <v>9</v>
      </c>
      <c r="V31" s="143" t="str">
        <f t="shared" si="13"/>
        <v>40%</v>
      </c>
      <c r="W31" s="142" t="s">
        <v>19</v>
      </c>
      <c r="X31" s="142" t="s">
        <v>22</v>
      </c>
      <c r="Y31" s="142" t="s">
        <v>119</v>
      </c>
      <c r="Z31" s="144">
        <f>IFERROR(IF(S31="Probabilidad",(K31-(+K31*V31)),IF(S31="Impacto",K31,"")),"")</f>
        <v>0.36</v>
      </c>
      <c r="AA31" s="244" t="str">
        <f t="shared" si="14"/>
        <v>Baja</v>
      </c>
      <c r="AB31" s="143">
        <f t="shared" ref="AB31:AB41" si="17">+Z31</f>
        <v>0.36</v>
      </c>
      <c r="AC31" s="162" t="str">
        <f t="shared" si="15"/>
        <v>Moderado</v>
      </c>
      <c r="AD31" s="143">
        <f t="shared" si="16"/>
        <v>0.6</v>
      </c>
      <c r="AE31" s="163" t="str">
        <f>IFERROR(IF(OR(AND(AA31="Muy Baja",AC31="Leve"),AND(AA31="Muy Baja",AC31="Menor"),AND(AA31="Baja",AC31="Leve")),"Bajo",IF(OR(AND(AA31="Muy baja",AC31="Moderado"),AND(AA31="Baja",AC31="Menor"),AND(AA31="Baja",AC31="Moderado"),AND(AA31="Media",AC31="Leve"),AND(AA31="Media",AC31="Menor"),AND(AA31="Media",AC31="Moderado"),AND(AA31="Alta",AC31="Leve"),AND(AA31="Alta",AC31="Menor")),"Moderado",IF(OR(AND(AA31="Muy Baja",AC31="Mayor"),AND(AA31="Baja",AC31="Mayor"),AND(AA31="Media",AC31="Mayor"),AND(AA31="Alta",AC31="Moderado"),AND(AA31="Alta",AC31="Mayor"),AND(AA31="Muy Alta",AC31="Leve"),AND(AA31="Muy Alta",AC31="Menor"),AND(AA31="Muy Alta",AC31="Moderado"),AND(AA31="Muy Alta",AC31="Mayor")),"Alto",IF(OR(AND(AA31="Muy Baja",AC31="Catastrófico"),AND(AA31="Baja",AC31="Catastrófico"),AND(AA31="Media",AC31="Catastrófico"),AND(AA31="Alta",AC31="Catastrófico"),AND(AA31="Muy Alta",AC31="Catastrófico")),"Extremo","")))),"")</f>
        <v>Moderado</v>
      </c>
      <c r="AF31" s="142" t="s">
        <v>32</v>
      </c>
      <c r="AG31" s="234" t="s">
        <v>498</v>
      </c>
      <c r="AH31" s="235" t="s">
        <v>499</v>
      </c>
      <c r="AI31" s="149">
        <v>45292</v>
      </c>
      <c r="AJ31" s="237" t="s">
        <v>486</v>
      </c>
      <c r="AK31" s="234" t="s">
        <v>500</v>
      </c>
      <c r="AL31" s="250" t="s">
        <v>41</v>
      </c>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row>
    <row r="32" spans="1:70" ht="207" customHeight="1" x14ac:dyDescent="0.3">
      <c r="A32" s="366"/>
      <c r="B32" s="317"/>
      <c r="C32" s="366"/>
      <c r="D32" s="367"/>
      <c r="E32" s="367"/>
      <c r="F32" s="369"/>
      <c r="G32" s="372"/>
      <c r="H32" s="369"/>
      <c r="I32" s="375"/>
      <c r="J32" s="232" t="s">
        <v>107</v>
      </c>
      <c r="K32" s="378"/>
      <c r="L32" s="381"/>
      <c r="M32" s="310"/>
      <c r="N32" s="232" t="s">
        <v>81</v>
      </c>
      <c r="O32" s="378"/>
      <c r="P32" s="233" t="str">
        <f t="shared" si="12"/>
        <v>Moderado</v>
      </c>
      <c r="Q32" s="230">
        <v>2</v>
      </c>
      <c r="R32" s="234" t="s">
        <v>501</v>
      </c>
      <c r="S32" s="233" t="str">
        <f t="shared" si="0"/>
        <v>Probabilidad</v>
      </c>
      <c r="T32" s="142" t="s">
        <v>14</v>
      </c>
      <c r="U32" s="142" t="s">
        <v>9</v>
      </c>
      <c r="V32" s="143" t="str">
        <f t="shared" si="13"/>
        <v>40%</v>
      </c>
      <c r="W32" s="142" t="s">
        <v>19</v>
      </c>
      <c r="X32" s="142" t="s">
        <v>22</v>
      </c>
      <c r="Y32" s="142" t="s">
        <v>119</v>
      </c>
      <c r="Z32" s="144">
        <f t="array" ref="Z32">IFERROR(IF(S32="Probabilidad",(K31-(+K31*V32)),IF(X16Q15="Impacto",K31,"")),"")</f>
        <v>0.36</v>
      </c>
      <c r="AA32" s="244" t="str">
        <f t="shared" si="14"/>
        <v>Baja</v>
      </c>
      <c r="AB32" s="143">
        <f t="shared" si="17"/>
        <v>0.36</v>
      </c>
      <c r="AC32" s="162" t="str">
        <f t="shared" si="15"/>
        <v>Leve</v>
      </c>
      <c r="AD32" s="143">
        <f t="shared" si="16"/>
        <v>0</v>
      </c>
      <c r="AE32" s="163" t="str">
        <f>IFERROR(IF(OR(AND(AA32="Muy Baja",AC32="Leve"),AND(AA32="Muy Baja",AC32="Menor"),AND(AA32="Baja",AC32="Leve")),"Bajo",IF(OR(AND(AA32="Muy baja",AC32="Moderado"),AND(AA32="Baja",AC32="Menor"),AND(AA32="Baja",AC32="Moderado"),AND(AA32="Media",AC32="Leve"),AND(AA32="Media",AC32="Menor"),AND(AA32="Media",AC32="Moderado"),AND(AA32="Alta",AC32="Leve"),AND(AA32="Alta",AC32="Menor")),"Moderado",IF(OR(AND(AA32="Muy Baja",AC32="Mayor"),AND(AA32="Baja",AC32="Mayor"),AND(AA32="Media",AC32="Mayor"),AND(AA32="Alta",AC32="Moderado"),AND(AA32="Alta",AC32="Mayor"),AND(AA32="Muy Alta",AC32="Leve"),AND(AA32="Muy Alta",AC32="Menor"),AND(AA32="Muy Alta",AC32="Moderado"),AND(AA32="Muy Alta",AC32="Mayor")),"Alto",IF(OR(AND(AA32="Muy Baja",AC32="Catastrófico"),AND(AA32="Baja",AC32="Catastrófico"),AND(AA32="Media",AC32="Catastrófico"),AND(AA32="Alta",AC32="Catastrófico"),AND(AA32="Muy Alta",AC32="Catastrófico")),"Extremo","")))),"")</f>
        <v>Bajo</v>
      </c>
      <c r="AF32" s="142" t="s">
        <v>32</v>
      </c>
      <c r="AG32" s="234" t="s">
        <v>502</v>
      </c>
      <c r="AH32" s="235" t="s">
        <v>499</v>
      </c>
      <c r="AI32" s="149">
        <v>45444</v>
      </c>
      <c r="AJ32" s="237" t="s">
        <v>486</v>
      </c>
      <c r="AK32" s="234" t="s">
        <v>567</v>
      </c>
      <c r="AL32" s="235" t="s">
        <v>41</v>
      </c>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row>
    <row r="33" spans="1:70" ht="207" customHeight="1" x14ac:dyDescent="0.3">
      <c r="A33" s="366"/>
      <c r="B33" s="317"/>
      <c r="C33" s="366"/>
      <c r="D33" s="367"/>
      <c r="E33" s="367"/>
      <c r="F33" s="370"/>
      <c r="G33" s="373"/>
      <c r="H33" s="370"/>
      <c r="I33" s="376"/>
      <c r="J33" s="232" t="s">
        <v>107</v>
      </c>
      <c r="K33" s="379"/>
      <c r="L33" s="382"/>
      <c r="M33" s="310">
        <f>IF(NOT(ISERROR(MATCH(L33,_xlfn.ANCHORARRAY(#REF!),0))),#REF!&amp;"Por favor no seleccionar los criterios de impacto",L33)</f>
        <v>0</v>
      </c>
      <c r="N33" s="232" t="s">
        <v>81</v>
      </c>
      <c r="O33" s="379"/>
      <c r="P33" s="233" t="str">
        <f t="shared" si="12"/>
        <v>Moderado</v>
      </c>
      <c r="Q33" s="231" t="s">
        <v>503</v>
      </c>
      <c r="R33" s="234" t="s">
        <v>504</v>
      </c>
      <c r="S33" s="233" t="str">
        <f t="shared" si="0"/>
        <v>Probabilidad</v>
      </c>
      <c r="T33" s="142" t="s">
        <v>14</v>
      </c>
      <c r="U33" s="142" t="s">
        <v>9</v>
      </c>
      <c r="V33" s="143" t="str">
        <f t="shared" si="13"/>
        <v>40%</v>
      </c>
      <c r="W33" s="142" t="s">
        <v>19</v>
      </c>
      <c r="X33" s="142" t="s">
        <v>22</v>
      </c>
      <c r="Y33" s="142" t="s">
        <v>119</v>
      </c>
      <c r="Z33" s="144">
        <f>IFERROR(IF(AND(S31="Probabilidad",S33="Probabilidad"),(AB31-(+AB31*V33)),IF(S33="Probabilidad",(K31-(+K31*V33)),IF(S33="Impacto",AB31,""))),"")</f>
        <v>0.216</v>
      </c>
      <c r="AA33" s="244" t="str">
        <f t="shared" si="14"/>
        <v>Baja</v>
      </c>
      <c r="AB33" s="143">
        <f t="shared" si="17"/>
        <v>0.216</v>
      </c>
      <c r="AC33" s="162" t="str">
        <f t="shared" si="15"/>
        <v>Leve</v>
      </c>
      <c r="AD33" s="143">
        <f t="shared" si="16"/>
        <v>0</v>
      </c>
      <c r="AE33" s="163" t="str">
        <f>IFERROR(IF(OR(AND(AA33="Muy Baja",AC33="Leve"),AND(AA33="Muy Baja",AC33="Menor"),AND(AA33="Baja",AC33="Leve")),"Bajo",IF(OR(AND(AA33="Muy baja",AC33="Moderado"),AND(AA33="Baja",AC33="Menor"),AND(AA33="Baja",AC33="Moderado"),AND(AA33="Media",AC33="Leve"),AND(AA33="Media",AC33="Menor"),AND(AA33="Media",AC33="Moderado"),AND(AA33="Alta",AC33="Leve"),AND(AA33="Alta",AC33="Menor")),"Moderado",IF(OR(AND(AA33="Muy Baja",AC33="Mayor"),AND(AA33="Baja",AC33="Mayor"),AND(AA33="Media",AC33="Mayor"),AND(AA33="Alta",AC33="Moderado"),AND(AA33="Alta",AC33="Mayor"),AND(AA33="Muy Alta",AC33="Leve"),AND(AA33="Muy Alta",AC33="Menor"),AND(AA33="Muy Alta",AC33="Moderado"),AND(AA33="Muy Alta",AC33="Mayor")),"Alto",IF(OR(AND(AA33="Muy Baja",AC33="Catastrófico"),AND(AA33="Baja",AC33="Catastrófico"),AND(AA33="Media",AC33="Catastrófico"),AND(AA33="Alta",AC33="Catastrófico"),AND(AA33="Muy Alta",AC33="Catastrófico")),"Extremo","")))),"")</f>
        <v>Bajo</v>
      </c>
      <c r="AF33" s="142" t="s">
        <v>32</v>
      </c>
      <c r="AG33" s="234" t="s">
        <v>505</v>
      </c>
      <c r="AH33" s="235" t="s">
        <v>499</v>
      </c>
      <c r="AI33" s="149">
        <v>45444</v>
      </c>
      <c r="AJ33" s="237" t="s">
        <v>486</v>
      </c>
      <c r="AK33" s="234" t="s">
        <v>567</v>
      </c>
      <c r="AL33" s="235" t="s">
        <v>41</v>
      </c>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row>
    <row r="34" spans="1:70" ht="207" customHeight="1" x14ac:dyDescent="0.3">
      <c r="A34" s="230">
        <v>7</v>
      </c>
      <c r="B34" s="317"/>
      <c r="C34" s="230">
        <v>2</v>
      </c>
      <c r="D34" s="231" t="s">
        <v>493</v>
      </c>
      <c r="E34" s="231" t="s">
        <v>506</v>
      </c>
      <c r="F34" s="231" t="s">
        <v>507</v>
      </c>
      <c r="G34" s="221" t="s">
        <v>508</v>
      </c>
      <c r="H34" s="230" t="s">
        <v>125</v>
      </c>
      <c r="I34" s="179">
        <v>90</v>
      </c>
      <c r="J34" s="232" t="s">
        <v>107</v>
      </c>
      <c r="K34" s="246">
        <f>IF(J34="","",IF(J34="Muy Baja",0.2,IF(J34="Baja",0.4,IF(J34="Media",0.6,IF(J34="Alta",0.8,IF(J34="Muy Alta",1,))))))</f>
        <v>0.6</v>
      </c>
      <c r="L34" s="221" t="s">
        <v>150</v>
      </c>
      <c r="M34" s="221" t="s">
        <v>509</v>
      </c>
      <c r="N34" s="232" t="s">
        <v>81</v>
      </c>
      <c r="O34" s="246">
        <f>IF(N34="","",IF(N34="Leve",0.2,IF(N34="Menor",0.4,IF(N34="Moderado",0.6,IF(N34="Mayor",0.8,IF(N34="Catastrófico",1,))))))</f>
        <v>0.6</v>
      </c>
      <c r="P34" s="233" t="str">
        <f t="shared" si="12"/>
        <v>Moderado</v>
      </c>
      <c r="Q34" s="230">
        <v>1</v>
      </c>
      <c r="R34" s="231" t="s">
        <v>510</v>
      </c>
      <c r="S34" s="233" t="str">
        <f t="shared" si="0"/>
        <v>Probabilidad</v>
      </c>
      <c r="T34" s="142" t="s">
        <v>14</v>
      </c>
      <c r="U34" s="142" t="s">
        <v>9</v>
      </c>
      <c r="V34" s="143" t="str">
        <f t="shared" si="13"/>
        <v>40%</v>
      </c>
      <c r="W34" s="142" t="s">
        <v>19</v>
      </c>
      <c r="X34" s="142" t="s">
        <v>22</v>
      </c>
      <c r="Y34" s="142" t="s">
        <v>119</v>
      </c>
      <c r="Z34" s="144">
        <f>IFERROR(IF(AND(S32="Probabilidad",S34="Probabilidad"),(AB32-(+AB32*V34)),IF(S34="Probabilidad",(K32-(+K32*V34)),IF(S34="Impacto",AB32,""))),"")</f>
        <v>0.216</v>
      </c>
      <c r="AA34" s="244" t="str">
        <f t="shared" si="14"/>
        <v>Baja</v>
      </c>
      <c r="AB34" s="143">
        <f t="shared" si="17"/>
        <v>0.216</v>
      </c>
      <c r="AC34" s="162" t="str">
        <f t="shared" si="15"/>
        <v>Moderado</v>
      </c>
      <c r="AD34" s="143">
        <f t="shared" si="16"/>
        <v>0.6</v>
      </c>
      <c r="AE34" s="163" t="str">
        <f>IFERROR(IF(OR(AND(AA34="Muy Baja",AC34="Leve"),AND(AA34="Muy Baja",AC34="Menor"),AND(AA34="Baja",AC34="Leve")),"Bajo",IF(OR(AND(AA34="Muy baja",AC34="Moderado"),AND(AA34="Baja",AC34="Menor"),AND(AA34="Baja",AC34="Moderado"),AND(AA34="Media",AC34="Leve"),AND(AA34="Media",AC34="Menor"),AND(AA34="Media",AC34="Moderado"),AND(AA34="Alta",AC34="Leve"),AND(AA34="Alta",AC34="Menor")),"Moderado",IF(OR(AND(AA34="Muy Baja",AC34="Mayor"),AND(AA34="Baja",AC34="Mayor"),AND(AA34="Media",AC34="Mayor"),AND(AA34="Alta",AC34="Moderado"),AND(AA34="Alta",AC34="Mayor"),AND(AA34="Muy Alta",AC34="Leve"),AND(AA34="Muy Alta",AC34="Menor"),AND(AA34="Muy Alta",AC34="Moderado"),AND(AA34="Muy Alta",AC34="Mayor")),"Alto",IF(OR(AND(AA34="Muy Baja",AC34="Catastrófico"),AND(AA34="Baja",AC34="Catastrófico"),AND(AA34="Media",AC34="Catastrófico"),AND(AA34="Alta",AC34="Catastrófico"),AND(AA34="Muy Alta",AC34="Catastrófico")),"Extremo","")))),"")</f>
        <v>Moderado</v>
      </c>
      <c r="AF34" s="142" t="s">
        <v>32</v>
      </c>
      <c r="AG34" s="234" t="s">
        <v>511</v>
      </c>
      <c r="AH34" s="234" t="s">
        <v>512</v>
      </c>
      <c r="AI34" s="149">
        <v>45292</v>
      </c>
      <c r="AJ34" s="252" t="s">
        <v>486</v>
      </c>
      <c r="AK34" s="248" t="s">
        <v>500</v>
      </c>
      <c r="AL34" s="250" t="s">
        <v>41</v>
      </c>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row>
    <row r="35" spans="1:70" ht="207" customHeight="1" x14ac:dyDescent="0.3">
      <c r="A35" s="253">
        <v>8</v>
      </c>
      <c r="B35" s="317" t="s">
        <v>513</v>
      </c>
      <c r="C35" s="254">
        <v>1</v>
      </c>
      <c r="D35" s="255" t="s">
        <v>131</v>
      </c>
      <c r="E35" s="255" t="s">
        <v>514</v>
      </c>
      <c r="F35" s="255" t="s">
        <v>515</v>
      </c>
      <c r="G35" s="256" t="s">
        <v>543</v>
      </c>
      <c r="H35" s="255" t="s">
        <v>123</v>
      </c>
      <c r="I35" s="257">
        <v>1</v>
      </c>
      <c r="J35" s="258" t="str">
        <f>IF(I35&lt;=0,"",IF(I35&lt;=2,"Muy Baja",IF(I35&lt;=24,"Baja",IF(I35&lt;=500,"Media",IF(I35&lt;=5000,"Alta","Muy Alta")))))</f>
        <v>Muy Baja</v>
      </c>
      <c r="K35" s="246">
        <f>IF(J35="","",IF(J35="Muy Baja",0.2,IF(J35="Baja",0.4,IF(J35="Media",0.6,IF(J35="Alta",0.8,IF(J35="Muy Alta",1,))))))</f>
        <v>0.2</v>
      </c>
      <c r="L35" s="245" t="s">
        <v>148</v>
      </c>
      <c r="M35" s="242" t="str">
        <f>IF(NOT(ISERROR(MATCH(L35,'[2]Tabla Impacto'!$B$221:$B$223,0))),'[2]Tabla Impacto'!$F$223&amp;"Por favor no seleccionar los criterios de impacto(Afectación Económica o presupuestal y Pérdida Reputacional)",L35)</f>
        <v xml:space="preserve">     El riesgo afecta la imagen de alguna área de la organización</v>
      </c>
      <c r="N35" s="258" t="str">
        <f>IF(OR(M35='[2]Tabla Impacto'!$C$11,M35='[2]Tabla Impacto'!$D$11),"Leve",IF(OR(M35='[2]Tabla Impacto'!$C$12,M35='[2]Tabla Impacto'!$D$12),"Menor",IF(OR(M35='[2]Tabla Impacto'!$C$13,M35='[2]Tabla Impacto'!$D$13),"Moderado",IF(OR(M35='[2]Tabla Impacto'!$C$14,M35='[2]Tabla Impacto'!$D$14),"Mayor",IF(OR(M35='[2]Tabla Impacto'!$C$15,M35='[2]Tabla Impacto'!$D$15),"Catastrófico","")))))</f>
        <v>Leve</v>
      </c>
      <c r="O35" s="246">
        <f>IF(N35="","",IF(N35="Leve",0.2,IF(N35="Menor",0.4,IF(N35="Moderado",0.6,IF(N35="Mayor",0.8,IF(N35="Catastrófico",1,))))))</f>
        <v>0.2</v>
      </c>
      <c r="P35" s="259" t="str">
        <f t="shared" si="12"/>
        <v>Bajo</v>
      </c>
      <c r="Q35" s="230">
        <v>1</v>
      </c>
      <c r="R35" s="158" t="s">
        <v>516</v>
      </c>
      <c r="S35" s="233" t="str">
        <f t="shared" si="0"/>
        <v>Probabilidad</v>
      </c>
      <c r="T35" s="142" t="s">
        <v>14</v>
      </c>
      <c r="U35" s="142" t="s">
        <v>9</v>
      </c>
      <c r="V35" s="143" t="str">
        <f t="shared" si="13"/>
        <v>40%</v>
      </c>
      <c r="W35" s="142" t="s">
        <v>19</v>
      </c>
      <c r="X35" s="142" t="s">
        <v>23</v>
      </c>
      <c r="Y35" s="142" t="s">
        <v>119</v>
      </c>
      <c r="Z35" s="144">
        <f>IFERROR(IF(S35="Probabilidad",(K35-(+K35*V35)),IF(S35="Impacto",K35,"")),"")</f>
        <v>0.12</v>
      </c>
      <c r="AA35" s="227" t="str">
        <f t="shared" si="14"/>
        <v>Muy Baja</v>
      </c>
      <c r="AB35" s="143">
        <f t="shared" si="17"/>
        <v>0.12</v>
      </c>
      <c r="AC35" s="227" t="str">
        <f t="shared" si="15"/>
        <v>Leve</v>
      </c>
      <c r="AD35" s="143">
        <f t="shared" si="16"/>
        <v>0.2</v>
      </c>
      <c r="AE35" s="228" t="str">
        <f t="shared" ref="AE35:AE41" si="18">IFERROR(IF(OR(AND(AA35="Muy Baja",AC35="Leve"),AND(AA35="Muy Baja",AC35="Menor"),AND(AA35="Baja",AC35="Leve")),"Bajo",IF(OR(AND(AA35="Muy baja",AC35="Moderado"),AND(AA35="Baja",AC35="Menor"),AND(AA35="Baja",AC35="Moderado"),AND(AA35="Media",AC35="Leve"),AND(AA35="Media",AC35="Menor"),AND(AA35="Media",AC35="Moderado"),AND(AA35="Alta",AC35="Leve"),AND(AA35="Alta",AC35="Menor")),"Moderado",IF(OR(AND(AA35="Muy Baja",AC35="Mayor"),AND(AA35="Baja",AC35="Mayor"),AND(AA35="Media",AC35="Mayor"),AND(AA35="Alta",AC35="Moderado"),AND(AA35="Alta",AC35="Mayor"),AND(AA35="Muy Alta",AC35="Leve"),AND(AA35="Muy Alta",AC35="Menor"),AND(AA35="Muy Alta",AC35="Moderado"),AND(AA35="Muy Alta",AC35="Mayor")),"Alto",IF(OR(AND(AA35="Muy Baja",AC35="Catastrófico"),AND(AA35="Baja",AC35="Catastrófico"),AND(AA35="Media",AC35="Catastrófico"),AND(AA35="Alta",AC35="Catastrófico"),AND(AA35="Muy Alta",AC35="Catastrófico")),"Extremo","")))),"")</f>
        <v>Bajo</v>
      </c>
      <c r="AF35" s="142" t="s">
        <v>136</v>
      </c>
      <c r="AG35" s="234" t="s">
        <v>517</v>
      </c>
      <c r="AH35" s="235" t="s">
        <v>518</v>
      </c>
      <c r="AI35" s="236" t="s">
        <v>519</v>
      </c>
      <c r="AJ35" s="240" t="s">
        <v>486</v>
      </c>
      <c r="AK35" s="239" t="s">
        <v>544</v>
      </c>
      <c r="AL35" s="235" t="s">
        <v>41</v>
      </c>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row>
    <row r="36" spans="1:70" ht="207" customHeight="1" x14ac:dyDescent="0.3">
      <c r="A36" s="386">
        <v>9</v>
      </c>
      <c r="B36" s="317"/>
      <c r="C36" s="386">
        <v>2</v>
      </c>
      <c r="D36" s="387" t="s">
        <v>131</v>
      </c>
      <c r="E36" s="387" t="s">
        <v>520</v>
      </c>
      <c r="F36" s="387" t="s">
        <v>521</v>
      </c>
      <c r="G36" s="388" t="s">
        <v>522</v>
      </c>
      <c r="H36" s="387" t="s">
        <v>123</v>
      </c>
      <c r="I36" s="389">
        <v>1</v>
      </c>
      <c r="J36" s="383" t="str">
        <f>IF(I36&lt;=0,"",IF(I36&lt;=2,"Muy Baja",IF(I36&lt;=24,"Baja",IF(I36&lt;=500,"Media",IF(I36&lt;=5000,"Alta","Muy Alta")))))</f>
        <v>Muy Baja</v>
      </c>
      <c r="K36" s="384">
        <f>IF(J36="","",IF(J36="Muy Baja",0.2,IF(J36="Baja",0.4,IF(J36="Media",0.6,IF(J36="Alta",0.8,IF(J36="Muy Alta",1,))))))</f>
        <v>0.2</v>
      </c>
      <c r="L36" s="391" t="s">
        <v>148</v>
      </c>
      <c r="M36" s="384" t="str">
        <f>IF(NOT(ISERROR(MATCH(L36,'[2]Tabla Impacto'!$B$221:$B$223,0))),'[2]Tabla Impacto'!$F$223&amp;"Por favor no seleccionar los criterios de impacto(Afectación Económica o presupuestal y Pérdida Reputacional)",L36)</f>
        <v xml:space="preserve">     El riesgo afecta la imagen de alguna área de la organización</v>
      </c>
      <c r="N36" s="383" t="str">
        <f>IF(OR(M36='[2]Tabla Impacto'!$C$11,M36='[2]Tabla Impacto'!$D$11),"Leve",IF(OR(M36='[2]Tabla Impacto'!$C$12,M36='[2]Tabla Impacto'!$D$12),"Menor",IF(OR(M36='[2]Tabla Impacto'!$C$13,M36='[2]Tabla Impacto'!$D$13),"Moderado",IF(OR(M36='[2]Tabla Impacto'!$C$14,M36='[2]Tabla Impacto'!$D$14),"Mayor",IF(OR(M36='[2]Tabla Impacto'!$C$15,M36='[2]Tabla Impacto'!$D$15),"Catastrófico","")))))</f>
        <v>Leve</v>
      </c>
      <c r="O36" s="384">
        <f>IF(N36="","",IF(N36="Leve",0.2,IF(N36="Menor",0.4,IF(N36="Moderado",0.6,IF(N36="Mayor",0.8,IF(N36="Catastrófico",1,))))))</f>
        <v>0.2</v>
      </c>
      <c r="P36" s="385" t="str">
        <f>IF(OR(AND(J36="Muy Baja",N36="Leve"),AND(J36="Muy Baja",N36="Menor"),AND(J36="Baja",N36="Leve")),"Bajo",IF(OR(AND(J36="Muy baja",N36="Moderado"),AND(J36="Baja",N36="Menor"),AND(J36="Baja",N36="Moderado"),AND(J36="Media",N36="Leve"),AND(J36="Media",N36="Menor"),AND(J36="Media",N36="Moderado"),AND(J36="Alta",N36="Leve"),AND(J36="Alta",N36="Menor")),"Moderado",IF(OR(AND(J36="Muy Baja",N36="Mayor"),AND(J36="Baja",N36="Mayor"),AND(J36="Media",N36="Mayor"),AND(J36="Alta",N36="Moderado"),AND(J36="Alta",N36="Mayor"),AND(J36="Muy Alta",N36="Leve"),AND(J36="Muy Alta",N36="Menor"),AND(J36="Muy Alta",N36="Moderado"),AND(J36="Muy Alta",N36="Mayor")),"Alto",IF(OR(AND(J36="Muy Baja",N36="Catastrófico"),AND(J36="Baja",N36="Catastrófico"),AND(J36="Media",N36="Catastrófico"),AND(J36="Alta",N36="Catastrófico"),AND(J36="Muy Alta",N36="Catastrófico")),"Extremo",""))))</f>
        <v>Bajo</v>
      </c>
      <c r="Q36" s="210">
        <v>1</v>
      </c>
      <c r="R36" s="158" t="s">
        <v>523</v>
      </c>
      <c r="S36" s="212" t="str">
        <f t="shared" si="0"/>
        <v>Probabilidad</v>
      </c>
      <c r="T36" s="213" t="s">
        <v>14</v>
      </c>
      <c r="U36" s="213" t="s">
        <v>9</v>
      </c>
      <c r="V36" s="214" t="str">
        <f t="shared" si="13"/>
        <v>40%</v>
      </c>
      <c r="W36" s="213" t="s">
        <v>19</v>
      </c>
      <c r="X36" s="213" t="s">
        <v>22</v>
      </c>
      <c r="Y36" s="213" t="s">
        <v>119</v>
      </c>
      <c r="Z36" s="215">
        <f>IFERROR(IF(S36="Probabilidad",(K36-(+K36*V36)),IF(S36="Impacto",K36,"")),"")</f>
        <v>0.12</v>
      </c>
      <c r="AA36" s="222" t="str">
        <f>IFERROR(IF(Z36="","",IF(Z36&lt;=0.2,"Muy Baja",IF(Z36&lt;=0.4,"Baja",IF(Z36&lt;=0.6,"Media",IF(Z36&lt;=0.8,"Alta","Muy Alta"))))),"")</f>
        <v>Muy Baja</v>
      </c>
      <c r="AB36" s="214">
        <f t="shared" si="17"/>
        <v>0.12</v>
      </c>
      <c r="AC36" s="222" t="str">
        <f>IFERROR(IF(AD36="","",IF(AD36&lt;=0.2,"Leve",IF(AD36&lt;=0.4,"Menor",IF(AD36&lt;=0.6,"Moderado",IF(AD36&lt;=0.8,"Mayor","Catastrófico"))))),"")</f>
        <v>Leve</v>
      </c>
      <c r="AD36" s="214">
        <f>IFERROR(IF(S36="Impacto",(O36-(+O36*V36)),IF(S36="Probabilidad",O36,"")),"")</f>
        <v>0.2</v>
      </c>
      <c r="AE36" s="216" t="str">
        <f t="shared" si="18"/>
        <v>Bajo</v>
      </c>
      <c r="AF36" s="213" t="s">
        <v>135</v>
      </c>
      <c r="AG36" s="217" t="s">
        <v>547</v>
      </c>
      <c r="AH36" s="241" t="s">
        <v>518</v>
      </c>
      <c r="AI36" s="240" t="s">
        <v>546</v>
      </c>
      <c r="AJ36" s="240" t="s">
        <v>486</v>
      </c>
      <c r="AK36" s="243" t="s">
        <v>545</v>
      </c>
      <c r="AL36" s="250" t="s">
        <v>41</v>
      </c>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row>
    <row r="37" spans="1:70" ht="207" customHeight="1" x14ac:dyDescent="0.3">
      <c r="A37" s="386"/>
      <c r="B37" s="317"/>
      <c r="C37" s="386"/>
      <c r="D37" s="387"/>
      <c r="E37" s="387"/>
      <c r="F37" s="387"/>
      <c r="G37" s="388"/>
      <c r="H37" s="387"/>
      <c r="I37" s="389"/>
      <c r="J37" s="383"/>
      <c r="K37" s="384"/>
      <c r="L37" s="391"/>
      <c r="M37" s="384">
        <f>IF(NOT(ISERROR(MATCH(L37,_xlfn.ANCHORARRAY(#REF!),0))),#REF!&amp;"Por favor no seleccionar los criterios de impacto",L37)</f>
        <v>0</v>
      </c>
      <c r="N37" s="383"/>
      <c r="O37" s="384"/>
      <c r="P37" s="385"/>
      <c r="Q37" s="210">
        <v>2</v>
      </c>
      <c r="R37" s="158" t="s">
        <v>524</v>
      </c>
      <c r="S37" s="212" t="str">
        <f t="shared" si="0"/>
        <v>Probabilidad</v>
      </c>
      <c r="T37" s="213" t="s">
        <v>15</v>
      </c>
      <c r="U37" s="213" t="s">
        <v>9</v>
      </c>
      <c r="V37" s="214" t="str">
        <f t="shared" si="13"/>
        <v>30%</v>
      </c>
      <c r="W37" s="213" t="s">
        <v>19</v>
      </c>
      <c r="X37" s="213" t="s">
        <v>22</v>
      </c>
      <c r="Y37" s="213" t="s">
        <v>119</v>
      </c>
      <c r="Z37" s="215">
        <f>IFERROR(IF(AND(S36="Probabilidad",S37="Probabilidad"),(AB36-(+AB36*V37)),IF(S37="Probabilidad",(K36-(+K36*V37)),IF(S37="Impacto",AB36,""))),"")</f>
        <v>8.3999999999999991E-2</v>
      </c>
      <c r="AA37" s="222" t="str">
        <f t="shared" ref="AA37:AA41" si="19">IFERROR(IF(Z37="","",IF(Z37&lt;=0.2,"Muy Baja",IF(Z37&lt;=0.4,"Baja",IF(Z37&lt;=0.6,"Media",IF(Z37&lt;=0.8,"Alta","Muy Alta"))))),"")</f>
        <v>Muy Baja</v>
      </c>
      <c r="AB37" s="214">
        <f t="shared" si="17"/>
        <v>8.3999999999999991E-2</v>
      </c>
      <c r="AC37" s="222" t="str">
        <f t="shared" ref="AC37:AC41" si="20">IFERROR(IF(AD37="","",IF(AD37&lt;=0.2,"Leve",IF(AD37&lt;=0.4,"Menor",IF(AD37&lt;=0.6,"Moderado",IF(AD37&lt;=0.8,"Mayor","Catastrófico"))))),"")</f>
        <v>Leve</v>
      </c>
      <c r="AD37" s="214">
        <f>IFERROR(IF(AND(S36="Impacto",S37="Impacto"),(AD35-(+AD35*V37)),IF(S37="Impacto",($O$18-(+$O$18*V37)),IF(S37="Probabilidad",AD35,""))),"")</f>
        <v>0.2</v>
      </c>
      <c r="AE37" s="216" t="str">
        <f t="shared" si="18"/>
        <v>Bajo</v>
      </c>
      <c r="AF37" s="213" t="s">
        <v>32</v>
      </c>
      <c r="AG37" s="217"/>
      <c r="AH37" s="218"/>
      <c r="AI37" s="219"/>
      <c r="AJ37" s="219"/>
      <c r="AK37" s="217"/>
      <c r="AL37" s="218"/>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row>
    <row r="38" spans="1:70" ht="207" customHeight="1" x14ac:dyDescent="0.3">
      <c r="A38" s="386"/>
      <c r="B38" s="317"/>
      <c r="C38" s="386"/>
      <c r="D38" s="387"/>
      <c r="E38" s="387"/>
      <c r="F38" s="387"/>
      <c r="G38" s="388"/>
      <c r="H38" s="387"/>
      <c r="I38" s="389"/>
      <c r="J38" s="383"/>
      <c r="K38" s="384"/>
      <c r="L38" s="391"/>
      <c r="M38" s="384">
        <f>IF(NOT(ISERROR(MATCH(L38,_xlfn.ANCHORARRAY(#REF!),0))),#REF!&amp;"Por favor no seleccionar los criterios de impacto",L38)</f>
        <v>0</v>
      </c>
      <c r="N38" s="383"/>
      <c r="O38" s="384"/>
      <c r="P38" s="385"/>
      <c r="Q38" s="210">
        <v>3</v>
      </c>
      <c r="R38" s="158" t="s">
        <v>525</v>
      </c>
      <c r="S38" s="212" t="str">
        <f t="shared" si="0"/>
        <v>Probabilidad</v>
      </c>
      <c r="T38" s="213" t="s">
        <v>14</v>
      </c>
      <c r="U38" s="213" t="s">
        <v>10</v>
      </c>
      <c r="V38" s="214" t="str">
        <f t="shared" si="13"/>
        <v>50%</v>
      </c>
      <c r="W38" s="213" t="s">
        <v>19</v>
      </c>
      <c r="X38" s="213" t="s">
        <v>22</v>
      </c>
      <c r="Y38" s="213" t="s">
        <v>119</v>
      </c>
      <c r="Z38" s="215">
        <f>IFERROR(IF(AND(S37="Probabilidad",S38="Probabilidad"),(AB37-(+AB37*V38)),IF(AND(S37="Impacto",S38="Probabilidad"),(AB36-(+AB36*V38)),IF(S38="Impacto",AB37,""))),"")</f>
        <v>4.1999999999999996E-2</v>
      </c>
      <c r="AA38" s="222" t="str">
        <f t="shared" si="19"/>
        <v>Muy Baja</v>
      </c>
      <c r="AB38" s="214">
        <f t="shared" si="17"/>
        <v>4.1999999999999996E-2</v>
      </c>
      <c r="AC38" s="222" t="str">
        <f t="shared" si="20"/>
        <v>Leve</v>
      </c>
      <c r="AD38" s="214">
        <f>IFERROR(IF(AND(S37="Impacto",S38="Impacto"),(AD37-(+AD37*V38)),IF(AND(S37="Probabilidad",S38="Impacto"),(AD36-(+AD36*V38)),IF(S38="Probabilidad",AD37,""))),"")</f>
        <v>0.2</v>
      </c>
      <c r="AE38" s="216" t="str">
        <f t="shared" si="18"/>
        <v>Bajo</v>
      </c>
      <c r="AF38" s="213" t="s">
        <v>31</v>
      </c>
      <c r="AG38" s="217"/>
      <c r="AH38" s="218"/>
      <c r="AI38" s="219"/>
      <c r="AJ38" s="219"/>
      <c r="AK38" s="217"/>
      <c r="AL38" s="218"/>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row>
    <row r="39" spans="1:70" ht="207" customHeight="1" x14ac:dyDescent="0.3">
      <c r="A39" s="386">
        <v>10</v>
      </c>
      <c r="B39" s="317"/>
      <c r="C39" s="386">
        <v>3</v>
      </c>
      <c r="D39" s="387" t="s">
        <v>132</v>
      </c>
      <c r="E39" s="387" t="s">
        <v>526</v>
      </c>
      <c r="F39" s="387" t="s">
        <v>527</v>
      </c>
      <c r="G39" s="388" t="s">
        <v>528</v>
      </c>
      <c r="H39" s="387" t="s">
        <v>123</v>
      </c>
      <c r="I39" s="389">
        <v>1</v>
      </c>
      <c r="J39" s="383" t="str">
        <f>IF(I39&lt;=0,"",IF(I39&lt;=2,"Muy Baja",IF(I39&lt;=24,"Baja",IF(I39&lt;=500,"Media",IF(I39&lt;=5000,"Alta","Muy Alta")))))</f>
        <v>Muy Baja</v>
      </c>
      <c r="K39" s="384">
        <f>IF(J39="","",IF(J39="Muy Baja",0.2,IF(J39="Baja",0.4,IF(J39="Media",0.6,IF(J39="Alta",0.8,IF(J39="Muy Alta",1,))))))</f>
        <v>0.2</v>
      </c>
      <c r="L39" s="306" t="s">
        <v>149</v>
      </c>
      <c r="M39" s="223" t="str">
        <f>IF(NOT(ISERROR(MATCH(L39,'[2]Tabla Impacto'!$B$221:$B$223,0))),'[2]Tabla Impacto'!$F$223&amp;"Por favor no seleccionar los criterios de impacto(Afectación Económica o presupuestal y Pérdida Reputacional)",L39)</f>
        <v xml:space="preserve">     El riesgo afecta la imagen de la entidad internamente, de conocimiento general, nivel interno, de junta dircetiva y accionistas y/o de provedores</v>
      </c>
      <c r="N39" s="383" t="str">
        <f>IF(OR(M39='[2]Tabla Impacto'!$C$11,M39='[2]Tabla Impacto'!$D$11),"Leve",IF(OR(M39='[2]Tabla Impacto'!$C$12,M39='[2]Tabla Impacto'!$D$12),"Menor",IF(OR(M39='[2]Tabla Impacto'!$C$13,M39='[2]Tabla Impacto'!$D$13),"Moderado",IF(OR(M39='[2]Tabla Impacto'!$C$14,M39='[2]Tabla Impacto'!$D$14),"Mayor",IF(OR(M39='[2]Tabla Impacto'!$C$15,M39='[2]Tabla Impacto'!$D$15),"Catastrófico","")))))</f>
        <v>Menor</v>
      </c>
      <c r="O39" s="384">
        <f>IF(N39="","",IF(N39="Leve",0.2,IF(N39="Menor",0.4,IF(N39="Moderado",0.6,IF(N39="Mayor",0.8,IF(N39="Catastrófico",1,))))))</f>
        <v>0.4</v>
      </c>
      <c r="P39" s="385" t="str">
        <f>IF(OR(AND(J39="Muy Baja",N39="Leve"),AND(J39="Muy Baja",N39="Menor"),AND(J39="Baja",N39="Leve")),"Bajo",IF(OR(AND(J39="Muy baja",N39="Moderado"),AND(J39="Baja",N39="Menor"),AND(J39="Baja",N39="Moderado"),AND(J39="Media",N39="Leve"),AND(J39="Media",N39="Menor"),AND(J39="Media",N39="Moderado"),AND(J39="Alta",N39="Leve"),AND(J39="Alta",N39="Menor")),"Moderado",IF(OR(AND(J39="Muy Baja",N39="Mayor"),AND(J39="Baja",N39="Mayor"),AND(J39="Media",N39="Mayor"),AND(J39="Alta",N39="Moderado"),AND(J39="Alta",N39="Mayor"),AND(J39="Muy Alta",N39="Leve"),AND(J39="Muy Alta",N39="Menor"),AND(J39="Muy Alta",N39="Moderado"),AND(J39="Muy Alta",N39="Mayor")),"Alto",IF(OR(AND(J39="Muy Baja",N39="Catastrófico"),AND(J39="Baja",N39="Catastrófico"),AND(J39="Media",N39="Catastrófico"),AND(J39="Alta",N39="Catastrófico"),AND(J39="Muy Alta",N39="Catastrófico")),"Extremo",""))))</f>
        <v>Bajo</v>
      </c>
      <c r="Q39" s="210">
        <v>1</v>
      </c>
      <c r="R39" s="158" t="s">
        <v>529</v>
      </c>
      <c r="S39" s="212" t="str">
        <f t="shared" si="0"/>
        <v>Probabilidad</v>
      </c>
      <c r="T39" s="213" t="s">
        <v>14</v>
      </c>
      <c r="U39" s="213" t="s">
        <v>9</v>
      </c>
      <c r="V39" s="214" t="str">
        <f t="shared" si="13"/>
        <v>40%</v>
      </c>
      <c r="W39" s="213" t="s">
        <v>19</v>
      </c>
      <c r="X39" s="213" t="s">
        <v>23</v>
      </c>
      <c r="Y39" s="213" t="s">
        <v>119</v>
      </c>
      <c r="Z39" s="215">
        <f>IFERROR(IF(S39="Probabilidad",(K39-(+K39*V39)),IF(S39="Impacto",K39,"")),"")</f>
        <v>0.12</v>
      </c>
      <c r="AA39" s="222" t="str">
        <f>IFERROR(IF(Z39="","",IF(Z39&lt;=0.2,"Muy Baja",IF(Z39&lt;=0.4,"Baja",IF(Z39&lt;=0.6,"Media",IF(Z39&lt;=0.8,"Alta","Muy Alta"))))),"")</f>
        <v>Muy Baja</v>
      </c>
      <c r="AB39" s="214">
        <f t="shared" si="17"/>
        <v>0.12</v>
      </c>
      <c r="AC39" s="222" t="str">
        <f>IFERROR(IF(AD39="","",IF(AD39&lt;=0.2,"Leve",IF(AD39&lt;=0.4,"Menor",IF(AD39&lt;=0.6,"Moderado",IF(AD39&lt;=0.8,"Mayor","Catastrófico"))))),"")</f>
        <v>Menor</v>
      </c>
      <c r="AD39" s="214">
        <f>IFERROR(IF(S39="Impacto",(O39-(+O39*V39)),IF(S39="Probabilidad",O39,"")),"")</f>
        <v>0.4</v>
      </c>
      <c r="AE39" s="216" t="str">
        <f t="shared" si="18"/>
        <v>Bajo</v>
      </c>
      <c r="AF39" s="213" t="s">
        <v>135</v>
      </c>
      <c r="AG39" s="217" t="s">
        <v>549</v>
      </c>
      <c r="AH39" s="241" t="s">
        <v>518</v>
      </c>
      <c r="AI39" s="240" t="s">
        <v>546</v>
      </c>
      <c r="AJ39" s="240" t="s">
        <v>486</v>
      </c>
      <c r="AK39" s="249" t="s">
        <v>548</v>
      </c>
      <c r="AL39" s="250" t="s">
        <v>41</v>
      </c>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row>
    <row r="40" spans="1:70" ht="82.5" customHeight="1" x14ac:dyDescent="0.3">
      <c r="A40" s="386"/>
      <c r="B40" s="317"/>
      <c r="C40" s="386"/>
      <c r="D40" s="387"/>
      <c r="E40" s="387"/>
      <c r="F40" s="387"/>
      <c r="G40" s="388"/>
      <c r="H40" s="387"/>
      <c r="I40" s="389"/>
      <c r="J40" s="383"/>
      <c r="K40" s="384"/>
      <c r="L40" s="307"/>
      <c r="M40" s="223">
        <f>IF(NOT(ISERROR(MATCH(L40,_xlfn.ANCHORARRAY(#REF!),0))),#REF!&amp;"Por favor no seleccionar los criterios de impacto",L40)</f>
        <v>0</v>
      </c>
      <c r="N40" s="383"/>
      <c r="O40" s="384"/>
      <c r="P40" s="385"/>
      <c r="Q40" s="210">
        <v>2</v>
      </c>
      <c r="R40" s="158" t="s">
        <v>530</v>
      </c>
      <c r="S40" s="212" t="str">
        <f t="shared" si="0"/>
        <v>Probabilidad</v>
      </c>
      <c r="T40" s="213" t="s">
        <v>14</v>
      </c>
      <c r="U40" s="213" t="s">
        <v>9</v>
      </c>
      <c r="V40" s="214" t="str">
        <f t="shared" si="13"/>
        <v>40%</v>
      </c>
      <c r="W40" s="213" t="s">
        <v>19</v>
      </c>
      <c r="X40" s="213" t="s">
        <v>22</v>
      </c>
      <c r="Y40" s="213" t="s">
        <v>119</v>
      </c>
      <c r="Z40" s="224">
        <f>IFERROR(IF(AND(S39="Probabilidad",S40="Probabilidad"),(AB39-(+AB39*V40)),IF(S40="Probabilidad",(K39-(+K39*V40)),IF(S40="Impacto",AB39,""))),"")</f>
        <v>7.1999999999999995E-2</v>
      </c>
      <c r="AA40" s="222" t="str">
        <f t="shared" si="19"/>
        <v>Muy Baja</v>
      </c>
      <c r="AB40" s="214">
        <f t="shared" si="17"/>
        <v>7.1999999999999995E-2</v>
      </c>
      <c r="AC40" s="222" t="str">
        <f t="shared" si="20"/>
        <v>Leve</v>
      </c>
      <c r="AD40" s="214">
        <f>IFERROR(IF(AND(S39="Impacto",S40="Impacto"),(AD36-(+AD36*V40)),IF(S40="Impacto",($O$23-(+$O$23*V40)),IF(S40="Probabilidad",AD36,""))),"")</f>
        <v>0.2</v>
      </c>
      <c r="AE40" s="216" t="str">
        <f t="shared" si="18"/>
        <v>Bajo</v>
      </c>
      <c r="AF40" s="213" t="s">
        <v>32</v>
      </c>
      <c r="AG40" s="217"/>
      <c r="AH40" s="218"/>
      <c r="AI40" s="219"/>
      <c r="AJ40" s="219"/>
      <c r="AK40" s="217"/>
      <c r="AL40" s="218"/>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row>
    <row r="41" spans="1:70" ht="156" customHeight="1" x14ac:dyDescent="0.3">
      <c r="A41" s="386"/>
      <c r="B41" s="317"/>
      <c r="C41" s="386"/>
      <c r="D41" s="387"/>
      <c r="E41" s="387"/>
      <c r="F41" s="387"/>
      <c r="G41" s="388"/>
      <c r="H41" s="387"/>
      <c r="I41" s="389"/>
      <c r="J41" s="383"/>
      <c r="K41" s="384"/>
      <c r="L41" s="308"/>
      <c r="M41" s="223">
        <f>IF(NOT(ISERROR(MATCH(L41,_xlfn.ANCHORARRAY(#REF!),0))),#REF!&amp;"Por favor no seleccionar los criterios de impacto",L41)</f>
        <v>0</v>
      </c>
      <c r="N41" s="383"/>
      <c r="O41" s="384"/>
      <c r="P41" s="385"/>
      <c r="Q41" s="210">
        <v>3</v>
      </c>
      <c r="R41" s="158" t="s">
        <v>531</v>
      </c>
      <c r="S41" s="212" t="str">
        <f t="shared" si="0"/>
        <v>Probabilidad</v>
      </c>
      <c r="T41" s="213" t="s">
        <v>14</v>
      </c>
      <c r="U41" s="213" t="s">
        <v>9</v>
      </c>
      <c r="V41" s="214" t="str">
        <f t="shared" si="13"/>
        <v>40%</v>
      </c>
      <c r="W41" s="213" t="s">
        <v>19</v>
      </c>
      <c r="X41" s="213" t="s">
        <v>22</v>
      </c>
      <c r="Y41" s="213" t="s">
        <v>119</v>
      </c>
      <c r="Z41" s="215">
        <f>IFERROR(IF(AND(S40="Probabilidad",S41="Probabilidad"),(AB40-(+AB40*V41)),IF(AND(S40="Impacto",S41="Probabilidad"),(AB39-(+AB39*V41)),IF(S41="Impacto",AB40,""))),"")</f>
        <v>4.3199999999999995E-2</v>
      </c>
      <c r="AA41" s="222" t="str">
        <f t="shared" si="19"/>
        <v>Muy Baja</v>
      </c>
      <c r="AB41" s="214">
        <f t="shared" si="17"/>
        <v>4.3199999999999995E-2</v>
      </c>
      <c r="AC41" s="222" t="str">
        <f t="shared" si="20"/>
        <v>Leve</v>
      </c>
      <c r="AD41" s="214">
        <f>IFERROR(IF(AND(S40="Impacto",S41="Impacto"),(AD40-(+AD40*V41)),IF(AND(S40="Probabilidad",S41="Impacto"),(AD39-(+AD39*V41)),IF(S41="Probabilidad",AD40,""))),"")</f>
        <v>0.2</v>
      </c>
      <c r="AE41" s="216" t="str">
        <f t="shared" si="18"/>
        <v>Bajo</v>
      </c>
      <c r="AF41" s="213" t="s">
        <v>32</v>
      </c>
      <c r="AG41" s="247"/>
      <c r="AH41" s="260"/>
      <c r="AI41" s="260"/>
      <c r="AJ41" s="260"/>
      <c r="AK41" s="260"/>
      <c r="AL41" s="260"/>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row>
    <row r="42" spans="1:70" s="136" customFormat="1" ht="131.25" customHeight="1" x14ac:dyDescent="0.25">
      <c r="A42" s="318">
        <v>11</v>
      </c>
      <c r="B42" s="317" t="s">
        <v>451</v>
      </c>
      <c r="C42" s="318">
        <v>1</v>
      </c>
      <c r="D42" s="304" t="s">
        <v>133</v>
      </c>
      <c r="E42" s="304" t="s">
        <v>265</v>
      </c>
      <c r="F42" s="320" t="s">
        <v>266</v>
      </c>
      <c r="G42" s="320" t="s">
        <v>267</v>
      </c>
      <c r="H42" s="304" t="s">
        <v>123</v>
      </c>
      <c r="I42" s="335" t="s">
        <v>268</v>
      </c>
      <c r="J42" s="321" t="str">
        <f>IF(I42&lt;=0,"",IF(I42&lt;=2,"Muy Baja",IF(I42&lt;=24,"Baja",IF(I42&lt;=500,"Media",IF(I42&lt;=5000,"Alta","Muy Alta")))))</f>
        <v>Muy Alta</v>
      </c>
      <c r="K42" s="310">
        <f>IF(J42="","",IF(J42="Muy Baja",0.2,IF(J42="Baja",0.4,IF(J42="Media",0.6,IF(J42="Alta",0.8,IF(J42="Muy Alta",1,))))))</f>
        <v>1</v>
      </c>
      <c r="L42" s="311" t="s">
        <v>150</v>
      </c>
      <c r="M42" s="310" t="str">
        <f>IF(NOT(ISERROR(MATCH(L42,'[3]Tabla Impacto'!$B$221:$B$223,0))),'[3]Tabla Impacto'!$F$223&amp;"Por favor no seleccionar los criterios de impacto(Afectación Económica o presupuestal y Pérdida Reputacional)",L42)</f>
        <v xml:space="preserve">     El riesgo afecta la imagen de la entidad con algunos usuarios de relevancia frente al logro de los objetivos</v>
      </c>
      <c r="N42" s="321" t="str">
        <f>IF(OR(M42='[3]Tabla Impacto'!$C$11,M42='[3]Tabla Impacto'!$D$11),"Leve",IF(OR(M42='[3]Tabla Impacto'!$C$12,M42='[3]Tabla Impacto'!$D$12),"Menor",IF(OR(M42='[3]Tabla Impacto'!$C$13,M42='[3]Tabla Impacto'!$D$13),"Moderado",IF(OR(M42='[3]Tabla Impacto'!$C$14,M42='[3]Tabla Impacto'!$D$14),"Mayor",IF(OR(M42='[3]Tabla Impacto'!$C$15,M42='[3]Tabla Impacto'!$D$15),"Catastrófico","")))))</f>
        <v>Moderado</v>
      </c>
      <c r="O42" s="322">
        <f>IF(N42="","",IF(N42="Leve",0.2,IF(N42="Menor",0.4,IF(N42="Moderado",0.6,IF(N42="Mayor",0.8,IF(N42="Catastrófico",1,))))))</f>
        <v>0.6</v>
      </c>
      <c r="P42" s="309" t="str">
        <f>IF(OR(AND(J42="Muy Baja",N42="Leve"),AND(J42="Muy Baja",N42="Menor"),AND(J42="Baja",N42="Leve")),"Bajo",IF(OR(AND(J42="Muy baja",N42="Moderado"),AND(J42="Baja",N42="Menor"),AND(J42="Baja",N42="Moderado"),AND(J42="Media",N42="Leve"),AND(J42="Media",N42="Menor"),AND(J42="Media",N42="Moderado"),AND(J42="Alta",N42="Leve"),AND(J42="Alta",N42="Menor")),"Moderado",IF(OR(AND(J42="Muy Baja",N42="Mayor"),AND(J42="Baja",N42="Mayor"),AND(J42="Media",N42="Mayor"),AND(J42="Alta",N42="Moderado"),AND(J42="Alta",N42="Mayor"),AND(J42="Muy Alta",N42="Leve"),AND(J42="Muy Alta",N42="Menor"),AND(J42="Muy Alta",N42="Moderado"),AND(J42="Muy Alta",N42="Mayor")),"Alto",IF(OR(AND(J42="Muy Baja",N42="Catastrófico"),AND(J42="Baja",N42="Catastrófico"),AND(J42="Media",N42="Catastrófico"),AND(J42="Alta",N42="Catastrófico"),AND(J42="Muy Alta",N42="Catastrófico")),"Extremo",""))))</f>
        <v>Alto</v>
      </c>
      <c r="Q42" s="140">
        <v>1</v>
      </c>
      <c r="R42" s="157" t="s">
        <v>269</v>
      </c>
      <c r="S42" s="141" t="str">
        <f t="shared" si="0"/>
        <v>Probabilidad</v>
      </c>
      <c r="T42" s="142" t="s">
        <v>14</v>
      </c>
      <c r="U42" s="142" t="s">
        <v>9</v>
      </c>
      <c r="V42" s="143" t="str">
        <f t="shared" si="13"/>
        <v>40%</v>
      </c>
      <c r="W42" s="142" t="s">
        <v>19</v>
      </c>
      <c r="X42" s="142" t="s">
        <v>22</v>
      </c>
      <c r="Y42" s="142" t="s">
        <v>119</v>
      </c>
      <c r="Z42" s="144">
        <f>IFERROR(IF(S42="Probabilidad",(K42-(+K42*V42)),IF(S42="Impacto",K42,"")),"")</f>
        <v>0.6</v>
      </c>
      <c r="AA42" s="162" t="str">
        <f>IFERROR(IF(Z42="","",IF(Z42&lt;=0.2,"Muy Baja",IF(Z42&lt;=0.4,"Baja",IF(Z42&lt;=0.6,"Media",IF(Z42&lt;=0.8,"Alta","Muy Alta"))))),"")</f>
        <v>Media</v>
      </c>
      <c r="AB42" s="143">
        <f t="shared" ref="AB42:AB63" si="21">+Z42</f>
        <v>0.6</v>
      </c>
      <c r="AC42" s="162" t="str">
        <f t="shared" ref="AC42:AC53" si="22">IFERROR(IF(AD42="","",IF(AD42&lt;=0.2,"Leve",IF(AD42&lt;=0.4,"Menor",IF(AD42&lt;=0.6,"Moderado",IF(AD42&lt;=0.8,"Mayor","Catastrófico"))))),"")</f>
        <v>Moderado</v>
      </c>
      <c r="AD42" s="143">
        <f>IFERROR(IF(S42="Impacto",(O42-(+O42*V42)),IF(S42="Probabilidad",O42,"")),"")</f>
        <v>0.6</v>
      </c>
      <c r="AE42" s="163" t="str">
        <f t="shared" ref="AE42:AE63" si="23">IFERROR(IF(OR(AND(AA42="Muy Baja",AC42="Leve"),AND(AA42="Muy Baja",AC42="Menor"),AND(AA42="Baja",AC42="Leve")),"Bajo",IF(OR(AND(AA42="Muy baja",AC42="Moderado"),AND(AA42="Baja",AC42="Menor"),AND(AA42="Baja",AC42="Moderado"),AND(AA42="Media",AC42="Leve"),AND(AA42="Media",AC42="Menor"),AND(AA42="Media",AC42="Moderado"),AND(AA42="Alta",AC42="Leve"),AND(AA42="Alta",AC42="Menor")),"Moderado",IF(OR(AND(AA42="Muy Baja",AC42="Mayor"),AND(AA42="Baja",AC42="Mayor"),AND(AA42="Media",AC42="Mayor"),AND(AA42="Alta",AC42="Moderado"),AND(AA42="Alta",AC42="Mayor"),AND(AA42="Muy Alta",AC42="Leve"),AND(AA42="Muy Alta",AC42="Menor"),AND(AA42="Muy Alta",AC42="Moderado"),AND(AA42="Muy Alta",AC42="Mayor")),"Alto",IF(OR(AND(AA42="Muy Baja",AC42="Catastrófico"),AND(AA42="Baja",AC42="Catastrófico"),AND(AA42="Media",AC42="Catastrófico"),AND(AA42="Alta",AC42="Catastrófico"),AND(AA42="Muy Alta",AC42="Catastrófico")),"Extremo","")))),"")</f>
        <v>Moderado</v>
      </c>
      <c r="AF42" s="142" t="s">
        <v>32</v>
      </c>
      <c r="AG42" s="139" t="s">
        <v>270</v>
      </c>
      <c r="AH42" s="139" t="s">
        <v>271</v>
      </c>
      <c r="AI42" s="150">
        <v>45463</v>
      </c>
      <c r="AJ42" s="150" t="s">
        <v>272</v>
      </c>
      <c r="AK42" s="249" t="s">
        <v>551</v>
      </c>
      <c r="AL42" s="166" t="s">
        <v>550</v>
      </c>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5"/>
      <c r="BR42" s="135"/>
    </row>
    <row r="43" spans="1:70" ht="70.5" customHeight="1" x14ac:dyDescent="0.3">
      <c r="A43" s="318"/>
      <c r="B43" s="317"/>
      <c r="C43" s="318"/>
      <c r="D43" s="304"/>
      <c r="E43" s="304"/>
      <c r="F43" s="320"/>
      <c r="G43" s="320"/>
      <c r="H43" s="304"/>
      <c r="I43" s="335"/>
      <c r="J43" s="321"/>
      <c r="K43" s="310"/>
      <c r="L43" s="311"/>
      <c r="M43" s="310">
        <f>IF(NOT(ISERROR(MATCH(L43,_xlfn.ANCHORARRAY(G46),0))),K47&amp;"Por favor no seleccionar los criterios de impacto",L43)</f>
        <v>0</v>
      </c>
      <c r="N43" s="321"/>
      <c r="O43" s="322"/>
      <c r="P43" s="309"/>
      <c r="Q43" s="140">
        <v>2</v>
      </c>
      <c r="R43" s="157" t="s">
        <v>273</v>
      </c>
      <c r="S43" s="141" t="str">
        <f t="shared" si="0"/>
        <v>Probabilidad</v>
      </c>
      <c r="T43" s="142" t="s">
        <v>14</v>
      </c>
      <c r="U43" s="142" t="s">
        <v>9</v>
      </c>
      <c r="V43" s="143" t="str">
        <f t="shared" si="13"/>
        <v>40%</v>
      </c>
      <c r="W43" s="142" t="s">
        <v>19</v>
      </c>
      <c r="X43" s="142" t="s">
        <v>22</v>
      </c>
      <c r="Y43" s="142" t="s">
        <v>119</v>
      </c>
      <c r="Z43" s="144">
        <f>IFERROR(IF(AND(S42="Probabilidad",S43="Probabilidad"),(AB42-(+AB42*V43)),IF(S43="Probabilidad",(K42-(+K42*V43)),IF(S43="Impacto",AB42,""))),"")</f>
        <v>0.36</v>
      </c>
      <c r="AA43" s="162" t="str">
        <f t="shared" ref="AA43:AA54" si="24">IFERROR(IF(Z43="","",IF(Z43&lt;=0.2,"Muy Baja",IF(Z43&lt;=0.4,"Baja",IF(Z43&lt;=0.6,"Media",IF(Z43&lt;=0.8,"Alta","Muy Alta"))))),"")</f>
        <v>Baja</v>
      </c>
      <c r="AB43" s="143">
        <f t="shared" si="21"/>
        <v>0.36</v>
      </c>
      <c r="AC43" s="162" t="str">
        <f t="shared" si="22"/>
        <v>Moderado</v>
      </c>
      <c r="AD43" s="143">
        <f>IFERROR(IF(AND(S42="Impacto",S43="Impacto"),(AD42-(+AD42*V43)),IF(S43="Impacto",($O$21-(+$O$21*V43)),IF(S43="Probabilidad",AD42,""))),"")</f>
        <v>0.6</v>
      </c>
      <c r="AE43" s="163" t="str">
        <f t="shared" si="23"/>
        <v>Moderado</v>
      </c>
      <c r="AF43" s="142" t="s">
        <v>32</v>
      </c>
      <c r="AG43" s="139" t="s">
        <v>274</v>
      </c>
      <c r="AH43" s="139" t="s">
        <v>271</v>
      </c>
      <c r="AI43" s="150">
        <v>45463</v>
      </c>
      <c r="AJ43" s="150" t="s">
        <v>272</v>
      </c>
      <c r="AK43" s="249" t="s">
        <v>552</v>
      </c>
      <c r="AL43" s="139" t="s">
        <v>550</v>
      </c>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row>
    <row r="44" spans="1:70" s="137" customFormat="1" ht="80.25" customHeight="1" x14ac:dyDescent="0.3">
      <c r="A44" s="319">
        <v>12</v>
      </c>
      <c r="B44" s="317"/>
      <c r="C44" s="319">
        <v>2</v>
      </c>
      <c r="D44" s="303" t="s">
        <v>133</v>
      </c>
      <c r="E44" s="303" t="s">
        <v>275</v>
      </c>
      <c r="F44" s="303" t="s">
        <v>276</v>
      </c>
      <c r="G44" s="320" t="s">
        <v>277</v>
      </c>
      <c r="H44" s="303" t="s">
        <v>123</v>
      </c>
      <c r="I44" s="362" t="s">
        <v>278</v>
      </c>
      <c r="J44" s="349" t="str">
        <f>IF(I44&lt;=0,"",IF(I44&lt;=2,"Muy Baja",IF(I44&lt;=24,"Baja",IF(I44&lt;=500,"Media",IF(I44&lt;=5000,"Alta","Muy Alta")))))</f>
        <v>Muy Alta</v>
      </c>
      <c r="K44" s="322">
        <f>IF(J44="","",IF(J44="Muy Baja",0.2,IF(J44="Baja",0.4,IF(J44="Media",0.6,IF(J44="Alta",0.8,IF(J44="Muy Alta",1,))))))</f>
        <v>1</v>
      </c>
      <c r="L44" s="347" t="s">
        <v>149</v>
      </c>
      <c r="M44" s="348" t="str">
        <f>IF(NOT(ISERROR(MATCH(L44,'[3]Tabla Impacto'!$B$221:$B$223,0))),'[3]Tabla Impacto'!$F$223&amp;"Por favor no seleccionar los criterios de impacto(Afectación Económica o presupuestal y Pérdida Reputacional)",L44)</f>
        <v xml:space="preserve">     El riesgo afecta la imagen de la entidad internamente, de conocimiento general, nivel interno, de junta dircetiva y accionistas y/o de provedores</v>
      </c>
      <c r="N44" s="349" t="str">
        <f>IF(OR(M44='[3]Tabla Impacto'!$C$11,M44='[3]Tabla Impacto'!$D$11),"Leve",IF(OR(M44='[3]Tabla Impacto'!$C$12,M44='[3]Tabla Impacto'!$D$12),"Menor",IF(OR(M44='[3]Tabla Impacto'!$C$13,M44='[3]Tabla Impacto'!$D$13),"Moderado",IF(OR(M44='[3]Tabla Impacto'!$C$14,M44='[3]Tabla Impacto'!$D$14),"Mayor",IF(OR(M44='[3]Tabla Impacto'!$C$15,M44='[3]Tabla Impacto'!$D$15),"Catastrófico","")))))</f>
        <v>Menor</v>
      </c>
      <c r="O44" s="322">
        <f>IF(N44="","",IF(N44="Leve",0.2,IF(N44="Menor",0.4,IF(N44="Moderado",0.6,IF(N44="Mayor",0.8,IF(N44="Catastrófico",1,))))))</f>
        <v>0.4</v>
      </c>
      <c r="P44" s="350" t="str">
        <f>IF(OR(AND(J44="Muy Baja",N44="Leve"),AND(J44="Muy Baja",N44="Menor"),AND(J44="Baja",N44="Leve")),"Bajo",IF(OR(AND(J44="Muy baja",N44="Moderado"),AND(J44="Baja",N44="Menor"),AND(J44="Baja",N44="Moderado"),AND(J44="Media",N44="Leve"),AND(J44="Media",N44="Menor"),AND(J44="Media",N44="Moderado"),AND(J44="Alta",N44="Leve"),AND(J44="Alta",N44="Menor")),"Moderado",IF(OR(AND(J44="Muy Baja",N44="Mayor"),AND(J44="Baja",N44="Mayor"),AND(J44="Media",N44="Mayor"),AND(J44="Alta",N44="Moderado"),AND(J44="Alta",N44="Mayor"),AND(J44="Muy Alta",N44="Leve"),AND(J44="Muy Alta",N44="Menor"),AND(J44="Muy Alta",N44="Moderado"),AND(J44="Muy Alta",N44="Mayor")),"Alto",IF(OR(AND(J44="Muy Baja",N44="Catastrófico"),AND(J44="Baja",N44="Catastrófico"),AND(J44="Media",N44="Catastrófico"),AND(J44="Alta",N44="Catastrófico"),AND(J44="Muy Alta",N44="Catastrófico")),"Extremo",""))))</f>
        <v>Alto</v>
      </c>
      <c r="Q44" s="165">
        <v>1</v>
      </c>
      <c r="R44" s="184" t="s">
        <v>279</v>
      </c>
      <c r="S44" s="185" t="str">
        <f t="shared" si="0"/>
        <v>Probabilidad</v>
      </c>
      <c r="T44" s="172" t="s">
        <v>14</v>
      </c>
      <c r="U44" s="172" t="s">
        <v>9</v>
      </c>
      <c r="V44" s="186" t="str">
        <f t="shared" si="13"/>
        <v>40%</v>
      </c>
      <c r="W44" s="172" t="s">
        <v>19</v>
      </c>
      <c r="X44" s="172" t="s">
        <v>22</v>
      </c>
      <c r="Y44" s="172" t="s">
        <v>119</v>
      </c>
      <c r="Z44" s="174">
        <f>IFERROR(IF(S44="Probabilidad",(K44-(+K44*V44)),IF(S44="Impacto",K44,"")),"")</f>
        <v>0.6</v>
      </c>
      <c r="AA44" s="175" t="str">
        <f>IFERROR(IF(Z44="","",IF(Z44&lt;=0.2,"Muy Baja",IF(Z44&lt;=0.4,"Baja",IF(Z44&lt;=0.6,"Media",IF(Z44&lt;=0.8,"Alta","Muy Alta"))))),"")</f>
        <v>Media</v>
      </c>
      <c r="AB44" s="186">
        <f t="shared" si="21"/>
        <v>0.6</v>
      </c>
      <c r="AC44" s="175" t="str">
        <f t="shared" si="22"/>
        <v>Menor</v>
      </c>
      <c r="AD44" s="186">
        <f>IFERROR(IF(S44="Impacto",(O44-(+O44*V44)),IF(S44="Probabilidad",O44,"")),"")</f>
        <v>0.4</v>
      </c>
      <c r="AE44" s="176" t="str">
        <f t="shared" si="23"/>
        <v>Moderado</v>
      </c>
      <c r="AF44" s="142" t="s">
        <v>32</v>
      </c>
      <c r="AG44" s="166" t="s">
        <v>280</v>
      </c>
      <c r="AH44" s="166" t="s">
        <v>281</v>
      </c>
      <c r="AI44" s="173">
        <v>45463</v>
      </c>
      <c r="AJ44" s="173" t="s">
        <v>272</v>
      </c>
      <c r="AK44" s="166" t="s">
        <v>553</v>
      </c>
      <c r="AL44" s="166" t="s">
        <v>550</v>
      </c>
      <c r="AM44" s="5"/>
      <c r="AN44" s="5"/>
      <c r="AO44" s="5"/>
      <c r="AP44" s="5"/>
      <c r="AQ44" s="5"/>
      <c r="AR44" s="5"/>
      <c r="AS44" s="5"/>
      <c r="AT44" s="5"/>
      <c r="AU44" s="5"/>
      <c r="AV44" s="5"/>
      <c r="AW44" s="5"/>
      <c r="AX44" s="5"/>
      <c r="AY44" s="5"/>
      <c r="AZ44" s="5"/>
      <c r="BA44" s="5"/>
      <c r="BB44" s="5"/>
      <c r="BC44" s="5"/>
      <c r="BD44" s="5"/>
      <c r="BE44" s="5"/>
    </row>
    <row r="45" spans="1:70" s="137" customFormat="1" ht="77.25" customHeight="1" x14ac:dyDescent="0.3">
      <c r="A45" s="319"/>
      <c r="B45" s="317"/>
      <c r="C45" s="319"/>
      <c r="D45" s="303"/>
      <c r="E45" s="303"/>
      <c r="F45" s="303"/>
      <c r="G45" s="320"/>
      <c r="H45" s="303"/>
      <c r="I45" s="362"/>
      <c r="J45" s="349"/>
      <c r="K45" s="322"/>
      <c r="L45" s="347"/>
      <c r="M45" s="348">
        <f>IF(NOT(ISERROR(MATCH(L45,_xlfn.ANCHORARRAY(G48),0))),#REF!&amp;"Por favor no seleccionar los criterios de impacto",L45)</f>
        <v>0</v>
      </c>
      <c r="N45" s="349"/>
      <c r="O45" s="322"/>
      <c r="P45" s="350"/>
      <c r="Q45" s="165">
        <v>2</v>
      </c>
      <c r="R45" s="184" t="s">
        <v>282</v>
      </c>
      <c r="S45" s="185" t="str">
        <f t="shared" si="0"/>
        <v>Probabilidad</v>
      </c>
      <c r="T45" s="172" t="s">
        <v>14</v>
      </c>
      <c r="U45" s="172" t="s">
        <v>9</v>
      </c>
      <c r="V45" s="186" t="str">
        <f t="shared" si="13"/>
        <v>40%</v>
      </c>
      <c r="W45" s="172" t="s">
        <v>19</v>
      </c>
      <c r="X45" s="172" t="s">
        <v>22</v>
      </c>
      <c r="Y45" s="172" t="s">
        <v>120</v>
      </c>
      <c r="Z45" s="174">
        <f>IFERROR(IF(AND(S44="Probabilidad",S45="Probabilidad"),(AB44-(+AB44*V45)),IF(S45="Probabilidad",(K44-(+K44*V45)),IF(S45="Impacto",AB44,""))),"")</f>
        <v>0.36</v>
      </c>
      <c r="AA45" s="175" t="str">
        <f t="shared" si="24"/>
        <v>Baja</v>
      </c>
      <c r="AB45" s="186">
        <f t="shared" si="21"/>
        <v>0.36</v>
      </c>
      <c r="AC45" s="175" t="str">
        <f t="shared" si="22"/>
        <v>Moderado</v>
      </c>
      <c r="AD45" s="186">
        <f>IFERROR(IF(AND(S44="Impacto",S45="Impacto"),(AD42-(+AD42*V45)),IF(S45="Impacto",($O$23-(+$O$23*V45)),IF(S45="Probabilidad",AD42,""))),"")</f>
        <v>0.6</v>
      </c>
      <c r="AE45" s="176" t="str">
        <f t="shared" si="23"/>
        <v>Moderado</v>
      </c>
      <c r="AF45" s="142" t="s">
        <v>32</v>
      </c>
      <c r="AG45" s="166" t="s">
        <v>283</v>
      </c>
      <c r="AH45" s="166" t="s">
        <v>284</v>
      </c>
      <c r="AI45" s="173">
        <v>45463</v>
      </c>
      <c r="AJ45" s="173" t="s">
        <v>272</v>
      </c>
      <c r="AK45" s="394" t="s">
        <v>554</v>
      </c>
      <c r="AL45" s="394" t="s">
        <v>550</v>
      </c>
      <c r="AM45" s="5"/>
      <c r="AN45" s="5"/>
      <c r="AO45" s="5"/>
      <c r="AP45" s="5"/>
      <c r="AQ45" s="5"/>
      <c r="AR45" s="5"/>
      <c r="AS45" s="5"/>
      <c r="AT45" s="5"/>
      <c r="AU45" s="5"/>
      <c r="AV45" s="5"/>
      <c r="AW45" s="5"/>
      <c r="AX45" s="5"/>
      <c r="AY45" s="5"/>
      <c r="AZ45" s="5"/>
      <c r="BA45" s="5"/>
      <c r="BB45" s="5"/>
      <c r="BC45" s="5"/>
      <c r="BD45" s="5"/>
      <c r="BE45" s="5"/>
    </row>
    <row r="46" spans="1:70" s="137" customFormat="1" ht="119.25" customHeight="1" x14ac:dyDescent="0.3">
      <c r="A46" s="319">
        <v>13</v>
      </c>
      <c r="B46" s="317"/>
      <c r="C46" s="319">
        <v>3</v>
      </c>
      <c r="D46" s="303" t="s">
        <v>133</v>
      </c>
      <c r="E46" s="303" t="s">
        <v>285</v>
      </c>
      <c r="F46" s="320" t="s">
        <v>286</v>
      </c>
      <c r="G46" s="320" t="s">
        <v>287</v>
      </c>
      <c r="H46" s="303" t="s">
        <v>126</v>
      </c>
      <c r="I46" s="362" t="s">
        <v>278</v>
      </c>
      <c r="J46" s="349" t="str">
        <f>IF(I46&lt;=0,"",IF(I46&lt;=2,"Muy Baja",IF(I46&lt;=24,"Baja",IF(I46&lt;=500,"Media",IF(I46&lt;=5000,"Alta","Muy Alta")))))</f>
        <v>Muy Alta</v>
      </c>
      <c r="K46" s="322">
        <f>IF(J46="","",IF(J46="Muy Baja",0.2,IF(J46="Baja",0.4,IF(J46="Media",0.6,IF(J46="Alta",0.8,IF(J46="Muy Alta",1,))))))</f>
        <v>1</v>
      </c>
      <c r="L46" s="347" t="s">
        <v>150</v>
      </c>
      <c r="M46" s="348" t="str">
        <f>IF(NOT(ISERROR(MATCH(L46,'[3]Tabla Impacto'!$B$221:$B$223,0))),'[3]Tabla Impacto'!$F$223&amp;"Por favor no seleccionar los criterios de impacto(Afectación Económica o presupuestal y Pérdida Reputacional)",L46)</f>
        <v xml:space="preserve">     El riesgo afecta la imagen de la entidad con algunos usuarios de relevancia frente al logro de los objetivos</v>
      </c>
      <c r="N46" s="349" t="str">
        <f>IF(OR(M50='[3]Tabla Impacto'!$C$11,M46='[3]Tabla Impacto'!$D$11),"Leve",IF(OR(M46='[3]Tabla Impacto'!$C$12,M46='[3]Tabla Impacto'!$D$12),"Menor",IF(OR(M46='[3]Tabla Impacto'!$C$13,M46='[3]Tabla Impacto'!$D$13),"Moderado",IF(OR(M46='[3]Tabla Impacto'!$C$14,M46='[3]Tabla Impacto'!$D$14),"Mayor",IF(OR(M46='[3]Tabla Impacto'!$C$15,M46='[3]Tabla Impacto'!$D$15),"Catastrófico","")))))</f>
        <v>Moderado</v>
      </c>
      <c r="O46" s="322">
        <f>IF(N46="","",IF(N46="Leve",0.2,IF(N46="Menor",0.4,IF(N46="Moderado",0.6,IF(N46="Mayor",0.8,IF(N46="Catastrófico",1,))))))</f>
        <v>0.6</v>
      </c>
      <c r="P46" s="350" t="str">
        <f>IF(OR(AND(J46="Muy Baja",N46="Leve"),AND(J46="Muy Baja",N46="Menor"),AND(J46="Baja",N46="Leve")),"Bajo",IF(OR(AND(J46="Muy baja",N46="Moderado"),AND(J46="Baja",N46="Menor"),AND(J46="Baja",N46="Moderado"),AND(J46="Media",N46="Leve"),AND(J46="Media",N46="Menor"),AND(J46="Media",N46="Moderado"),AND(J46="Alta",N46="Leve"),AND(J46="Alta",N46="Menor")),"Moderado",IF(OR(AND(J46="Muy Baja",N46="Mayor"),AND(J46="Baja",N46="Mayor"),AND(J46="Media",N46="Mayor"),AND(J46="Alta",N46="Moderado"),AND(J46="Alta",N46="Mayor"),AND(J46="Muy Alta",N46="Leve"),AND(J46="Muy Alta",N46="Menor"),AND(J46="Muy Alta",N46="Moderado"),AND(J46="Muy Alta",N46="Mayor")),"Alto",IF(OR(AND(J46="Muy Baja",N46="Catastrófico"),AND(J46="Baja",N46="Catastrófico"),AND(J46="Media",N46="Catastrófico"),AND(J46="Alta",N46="Catastrófico"),AND(J46="Muy Alta",N46="Catastrófico")),"Extremo",""))))</f>
        <v>Alto</v>
      </c>
      <c r="Q46" s="165">
        <v>1</v>
      </c>
      <c r="R46" s="187" t="s">
        <v>288</v>
      </c>
      <c r="S46" s="185" t="str">
        <f t="shared" si="0"/>
        <v>Probabilidad</v>
      </c>
      <c r="T46" s="172" t="s">
        <v>14</v>
      </c>
      <c r="U46" s="172" t="s">
        <v>9</v>
      </c>
      <c r="V46" s="186" t="str">
        <f t="shared" si="13"/>
        <v>40%</v>
      </c>
      <c r="W46" s="172" t="s">
        <v>19</v>
      </c>
      <c r="X46" s="172" t="s">
        <v>23</v>
      </c>
      <c r="Y46" s="172" t="s">
        <v>119</v>
      </c>
      <c r="Z46" s="174">
        <f>IFERROR(IF(S46="Probabilidad",(K46-(+K46*V46)),IF(S46="Impacto",K46,"")),"")</f>
        <v>0.6</v>
      </c>
      <c r="AA46" s="175" t="str">
        <f>IFERROR(IF(Z46="","",IF(Z46&lt;=0.2,"Muy Baja",IF(Z46&lt;=0.4,"Baja",IF(Z46&lt;=0.6,"Media",IF(Z46&lt;=0.8,"Alta","Muy Alta"))))),"")</f>
        <v>Media</v>
      </c>
      <c r="AB46" s="186">
        <f t="shared" si="21"/>
        <v>0.6</v>
      </c>
      <c r="AC46" s="175" t="str">
        <f t="shared" si="22"/>
        <v>Moderado</v>
      </c>
      <c r="AD46" s="186">
        <f>IFERROR(IF(S46="Impacto",(O46-(+O46*V46)),IF(S46="Probabilidad",O46,"")),"")</f>
        <v>0.6</v>
      </c>
      <c r="AE46" s="176" t="str">
        <f t="shared" si="23"/>
        <v>Moderado</v>
      </c>
      <c r="AF46" s="142" t="s">
        <v>32</v>
      </c>
      <c r="AG46" s="166" t="s">
        <v>289</v>
      </c>
      <c r="AH46" s="166" t="s">
        <v>290</v>
      </c>
      <c r="AI46" s="173">
        <v>45463</v>
      </c>
      <c r="AJ46" s="173" t="s">
        <v>272</v>
      </c>
      <c r="AK46" s="395"/>
      <c r="AL46" s="395"/>
      <c r="AM46" s="5"/>
      <c r="AN46" s="5"/>
      <c r="AO46" s="5"/>
      <c r="AP46" s="5"/>
      <c r="AQ46" s="5"/>
      <c r="AR46" s="5"/>
      <c r="AS46" s="5"/>
      <c r="AT46" s="5"/>
      <c r="AU46" s="5"/>
      <c r="AV46" s="5"/>
      <c r="AW46" s="5"/>
      <c r="AX46" s="5"/>
      <c r="AY46" s="5"/>
      <c r="AZ46" s="5"/>
      <c r="BA46" s="5"/>
      <c r="BB46" s="5"/>
      <c r="BC46" s="5"/>
      <c r="BD46" s="5"/>
      <c r="BE46" s="5"/>
    </row>
    <row r="47" spans="1:70" s="137" customFormat="1" ht="102" customHeight="1" x14ac:dyDescent="0.3">
      <c r="A47" s="319"/>
      <c r="B47" s="317"/>
      <c r="C47" s="319"/>
      <c r="D47" s="303"/>
      <c r="E47" s="303"/>
      <c r="F47" s="320"/>
      <c r="G47" s="320"/>
      <c r="H47" s="303"/>
      <c r="I47" s="362"/>
      <c r="J47" s="349"/>
      <c r="K47" s="322"/>
      <c r="L47" s="347"/>
      <c r="M47" s="348">
        <f>IF(NOT(ISERROR(MATCH(L47,_xlfn.ANCHORARRAY(#REF!),0))),#REF!&amp;"Por favor no seleccionar los criterios de impacto",L47)</f>
        <v>0</v>
      </c>
      <c r="N47" s="349"/>
      <c r="O47" s="322"/>
      <c r="P47" s="350"/>
      <c r="Q47" s="165">
        <v>2</v>
      </c>
      <c r="R47" s="184" t="s">
        <v>291</v>
      </c>
      <c r="S47" s="185" t="str">
        <f t="shared" si="0"/>
        <v>Probabilidad</v>
      </c>
      <c r="T47" s="172" t="s">
        <v>14</v>
      </c>
      <c r="U47" s="172" t="s">
        <v>9</v>
      </c>
      <c r="V47" s="186" t="str">
        <f t="shared" si="13"/>
        <v>40%</v>
      </c>
      <c r="W47" s="172" t="s">
        <v>19</v>
      </c>
      <c r="X47" s="172" t="s">
        <v>22</v>
      </c>
      <c r="Y47" s="172" t="s">
        <v>119</v>
      </c>
      <c r="Z47" s="174" t="str">
        <f>IFERROR(IF(AND(#REF!="Probabilidad",S47="Probabilidad"),(#REF!-(+#REF!*V47)),IF(AND(#REF!="Impacto",S47="Probabilidad"),(AB46-(+AB46*V47)),IF(S47="Impacto",#REF!,""))),"")</f>
        <v/>
      </c>
      <c r="AA47" s="175" t="s">
        <v>53</v>
      </c>
      <c r="AB47" s="186">
        <v>0.36</v>
      </c>
      <c r="AC47" s="188" t="str">
        <f t="shared" si="22"/>
        <v>Moderado</v>
      </c>
      <c r="AD47" s="186">
        <v>0.6</v>
      </c>
      <c r="AE47" s="189" t="s">
        <v>81</v>
      </c>
      <c r="AF47" s="142" t="s">
        <v>32</v>
      </c>
      <c r="AG47" s="166" t="s">
        <v>292</v>
      </c>
      <c r="AH47" s="166" t="s">
        <v>293</v>
      </c>
      <c r="AI47" s="173">
        <v>45463</v>
      </c>
      <c r="AJ47" s="173" t="s">
        <v>272</v>
      </c>
      <c r="AK47" s="166" t="s">
        <v>555</v>
      </c>
      <c r="AL47" s="251" t="s">
        <v>550</v>
      </c>
      <c r="AM47" s="5"/>
      <c r="AN47" s="5"/>
      <c r="AO47" s="5"/>
      <c r="AP47" s="5"/>
      <c r="AQ47" s="5"/>
      <c r="AR47" s="5"/>
      <c r="AS47" s="5"/>
      <c r="AT47" s="5"/>
      <c r="AU47" s="5"/>
      <c r="AV47" s="5"/>
      <c r="AW47" s="5"/>
      <c r="AX47" s="5"/>
      <c r="AY47" s="5"/>
      <c r="AZ47" s="5"/>
      <c r="BA47" s="5"/>
      <c r="BB47" s="5"/>
      <c r="BC47" s="5"/>
      <c r="BD47" s="5"/>
      <c r="BE47" s="5"/>
    </row>
    <row r="48" spans="1:70" ht="108" customHeight="1" x14ac:dyDescent="0.3">
      <c r="A48" s="319">
        <v>14</v>
      </c>
      <c r="B48" s="317"/>
      <c r="C48" s="319">
        <v>4</v>
      </c>
      <c r="D48" s="303" t="s">
        <v>132</v>
      </c>
      <c r="E48" s="320" t="s">
        <v>294</v>
      </c>
      <c r="F48" s="303" t="s">
        <v>295</v>
      </c>
      <c r="G48" s="320" t="s">
        <v>296</v>
      </c>
      <c r="H48" s="303" t="s">
        <v>123</v>
      </c>
      <c r="I48" s="362" t="s">
        <v>297</v>
      </c>
      <c r="J48" s="321" t="str">
        <f>IF(I48&lt;=0,"",IF(I48&lt;=2,"Muy Baja",IF(I48&lt;=24,"Baja",IF(I48&lt;=500,"Media",IF(I48&lt;=5000,"Alta","Muy Alta")))))</f>
        <v>Muy Alta</v>
      </c>
      <c r="K48" s="322">
        <f>IF(J48="","",IF(J48="Muy Baja",0.2,IF(J48="Baja",0.4,IF(J48="Media",0.6,IF(J48="Alta",0.8,IF(J48="Muy Alta",1,))))))</f>
        <v>1</v>
      </c>
      <c r="L48" s="347" t="s">
        <v>149</v>
      </c>
      <c r="M48" s="310" t="str">
        <f>IF(NOT(ISERROR(MATCH(L48,'[3]Tabla Impacto'!$B$221:$B$223,0))),'[3]Tabla Impacto'!$F$223&amp;"Por favor no seleccionar los criterios de impacto(Afectación Económica o presupuestal y Pérdida Reputacional)",L48)</f>
        <v xml:space="preserve">     El riesgo afecta la imagen de la entidad internamente, de conocimiento general, nivel interno, de junta dircetiva y accionistas y/o de provedores</v>
      </c>
      <c r="N48" s="349" t="str">
        <f>IF(OR(M52='[3]Tabla Impacto'!$C$11,M48='[3]Tabla Impacto'!$D$11),"Leve",IF(OR(M48='[3]Tabla Impacto'!$C$12,M48='[3]Tabla Impacto'!$D$12),"Menor",IF(OR(M48='[3]Tabla Impacto'!$C$13,M48='[3]Tabla Impacto'!$D$13),"Moderado",IF(OR(M48='[3]Tabla Impacto'!$C$14,M48='[3]Tabla Impacto'!$D$14),"Mayor",IF(OR(M48='[3]Tabla Impacto'!$C$15,M48='[3]Tabla Impacto'!$D$15),"Catastrófico","")))))</f>
        <v>Menor</v>
      </c>
      <c r="O48" s="322">
        <f>IF(N48="","",IF(N48="Leve",0.2,IF(N48="Menor",0.4,IF(N48="Moderado",0.6,IF(N48="Mayor",0.8,IF(N48="Catastrófico",1,))))))</f>
        <v>0.4</v>
      </c>
      <c r="P48" s="309" t="str">
        <f>IF(OR(AND(J48="Muy Baja",N48="Leve"),AND(J48="Muy Baja",N48="Menor"),AND(J48="Baja",N48="Leve")),"Bajo",IF(OR(AND(J48="Muy baja",N48="Moderado"),AND(J48="Baja",N48="Menor"),AND(J48="Baja",N48="Moderado"),AND(J48="Media",N48="Leve"),AND(J48="Media",N48="Menor"),AND(J48="Media",N48="Moderado"),AND(J48="Alta",N48="Leve"),AND(J48="Alta",N48="Menor")),"Moderado",IF(OR(AND(J48="Muy Baja",N48="Mayor"),AND(J48="Baja",N48="Mayor"),AND(J48="Media",N48="Mayor"),AND(J48="Alta",N48="Moderado"),AND(J48="Alta",N48="Mayor"),AND(J48="Muy Alta",N48="Leve"),AND(J48="Muy Alta",N48="Menor"),AND(J48="Muy Alta",N48="Moderado"),AND(J48="Muy Alta",N48="Mayor")),"Alto",IF(OR(AND(J48="Muy Baja",N48="Catastrófico"),AND(J48="Baja",N48="Catastrófico"),AND(J48="Media",N48="Catastrófico"),AND(J48="Alta",N48="Catastrófico"),AND(J48="Muy Alta",N48="Catastrófico")),"Extremo",""))))</f>
        <v>Alto</v>
      </c>
      <c r="Q48" s="165">
        <v>1</v>
      </c>
      <c r="R48" s="184" t="s">
        <v>298</v>
      </c>
      <c r="S48" s="185" t="str">
        <f t="shared" ref="S48:S56" si="25">IF(OR(T48="Preventivo",T48="Detectivo"),"Probabilidad",IF(T48="Correctivo","Impacto",""))</f>
        <v>Probabilidad</v>
      </c>
      <c r="T48" s="172" t="s">
        <v>14</v>
      </c>
      <c r="U48" s="172" t="s">
        <v>9</v>
      </c>
      <c r="V48" s="186" t="str">
        <f t="shared" si="13"/>
        <v>40%</v>
      </c>
      <c r="W48" s="172" t="s">
        <v>19</v>
      </c>
      <c r="X48" s="172" t="s">
        <v>23</v>
      </c>
      <c r="Y48" s="172" t="s">
        <v>120</v>
      </c>
      <c r="Z48" s="144">
        <f>IFERROR(IF(S48="Probabilidad",(K48-(+K48*V48)),IF(S48="Impacto",K48,"")),"")</f>
        <v>0.6</v>
      </c>
      <c r="AA48" s="162" t="str">
        <f>IFERROR(IF(Z48="","",IF(Z48&lt;=0.2,"Muy Baja",IF(Z48&lt;=0.4,"Baja",IF(Z48&lt;=0.6,"Media",IF(Z48&lt;=0.8,"Alta","Muy Alta"))))),"")</f>
        <v>Media</v>
      </c>
      <c r="AB48" s="186">
        <f t="shared" si="21"/>
        <v>0.6</v>
      </c>
      <c r="AC48" s="162" t="str">
        <f t="shared" si="22"/>
        <v>Menor</v>
      </c>
      <c r="AD48" s="186">
        <f>IFERROR(IF(S48="Impacto",(O48-(+O48*V48)),IF(S48="Probabilidad",O48,"")),"")</f>
        <v>0.4</v>
      </c>
      <c r="AE48" s="163" t="str">
        <f t="shared" si="23"/>
        <v>Moderado</v>
      </c>
      <c r="AF48" s="142" t="s">
        <v>32</v>
      </c>
      <c r="AG48" s="166" t="s">
        <v>299</v>
      </c>
      <c r="AH48" s="166" t="s">
        <v>293</v>
      </c>
      <c r="AI48" s="173">
        <v>45463</v>
      </c>
      <c r="AJ48" s="173" t="s">
        <v>272</v>
      </c>
      <c r="AK48" s="394" t="s">
        <v>556</v>
      </c>
      <c r="AL48" s="394" t="s">
        <v>550</v>
      </c>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row>
    <row r="49" spans="1:70" ht="120" customHeight="1" x14ac:dyDescent="0.3">
      <c r="A49" s="319"/>
      <c r="B49" s="317"/>
      <c r="C49" s="319"/>
      <c r="D49" s="303"/>
      <c r="E49" s="320"/>
      <c r="F49" s="303"/>
      <c r="G49" s="320"/>
      <c r="H49" s="303"/>
      <c r="I49" s="362"/>
      <c r="J49" s="321"/>
      <c r="K49" s="322"/>
      <c r="L49" s="347"/>
      <c r="M49" s="310">
        <f>IF(NOT(ISERROR(MATCH(L49,_xlfn.ANCHORARRAY(G50),0))),#REF!&amp;"Por favor no seleccionar los criterios de impacto",L49)</f>
        <v>0</v>
      </c>
      <c r="N49" s="349"/>
      <c r="O49" s="322"/>
      <c r="P49" s="309"/>
      <c r="Q49" s="140">
        <v>2</v>
      </c>
      <c r="R49" s="158" t="s">
        <v>300</v>
      </c>
      <c r="S49" s="141" t="str">
        <f t="shared" si="25"/>
        <v>Probabilidad</v>
      </c>
      <c r="T49" s="142" t="s">
        <v>14</v>
      </c>
      <c r="U49" s="142" t="s">
        <v>9</v>
      </c>
      <c r="V49" s="143" t="str">
        <f t="shared" si="13"/>
        <v>40%</v>
      </c>
      <c r="W49" s="142" t="s">
        <v>19</v>
      </c>
      <c r="X49" s="142" t="s">
        <v>23</v>
      </c>
      <c r="Y49" s="142" t="s">
        <v>119</v>
      </c>
      <c r="Z49" s="144">
        <f>IFERROR(IF(AND(S48="Probabilidad",S49="Probabilidad"),(AB48-(+AB48*V49)),IF(S49="Probabilidad",(K48-(+K48*V49)),IF(S49="Impacto",AB48,""))),"")</f>
        <v>0.36</v>
      </c>
      <c r="AA49" s="162" t="str">
        <f t="shared" si="24"/>
        <v>Baja</v>
      </c>
      <c r="AB49" s="186">
        <f t="shared" si="21"/>
        <v>0.36</v>
      </c>
      <c r="AC49" s="162" t="str">
        <f t="shared" si="22"/>
        <v>Moderado</v>
      </c>
      <c r="AD49" s="186">
        <f>IFERROR(IF(AND(S48="Impacto",S49="Impacto"),(AD46-(+AD46*V49)),IF(S49="Impacto",($O$27-(+$O$27*V49)),IF(S49="Probabilidad",AD46,""))),"")</f>
        <v>0.6</v>
      </c>
      <c r="AE49" s="163" t="str">
        <f t="shared" si="23"/>
        <v>Moderado</v>
      </c>
      <c r="AF49" s="142" t="s">
        <v>32</v>
      </c>
      <c r="AG49" s="166" t="s">
        <v>301</v>
      </c>
      <c r="AH49" s="166" t="s">
        <v>302</v>
      </c>
      <c r="AI49" s="173">
        <v>45463</v>
      </c>
      <c r="AJ49" s="173" t="s">
        <v>272</v>
      </c>
      <c r="AK49" s="395"/>
      <c r="AL49" s="39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row>
    <row r="50" spans="1:70" ht="111" customHeight="1" x14ac:dyDescent="0.3">
      <c r="A50" s="319">
        <v>15</v>
      </c>
      <c r="B50" s="317"/>
      <c r="C50" s="319">
        <v>6</v>
      </c>
      <c r="D50" s="303" t="s">
        <v>133</v>
      </c>
      <c r="E50" s="320" t="s">
        <v>303</v>
      </c>
      <c r="F50" s="303" t="s">
        <v>304</v>
      </c>
      <c r="G50" s="320" t="s">
        <v>305</v>
      </c>
      <c r="H50" s="303" t="s">
        <v>123</v>
      </c>
      <c r="I50" s="362" t="s">
        <v>306</v>
      </c>
      <c r="J50" s="321" t="str">
        <f>IF(I50&lt;=0,"",IF(I50&lt;=2,"Muy Baja",IF(I50&lt;=24,"Baja",IF(I50&lt;=500,"Media",IF(I50&lt;=5000,"Alta","Muy Alta")))))</f>
        <v>Muy Alta</v>
      </c>
      <c r="K50" s="322">
        <f>IF(J50="","",IF(J50="Muy Baja",0.2,IF(J50="Baja",0.4,IF(J50="Media",0.6,IF(J50="Alta",0.8,IF(J50="Muy Alta",1,))))))</f>
        <v>1</v>
      </c>
      <c r="L50" s="347" t="s">
        <v>148</v>
      </c>
      <c r="M50" s="310" t="str">
        <f>IF(NOT(ISERROR(MATCH(L50,'[3]Tabla Impacto'!$B$221:$B$223,0))),'[3]Tabla Impacto'!$F$223&amp;"Por favor no seleccionar los criterios de impacto(Afectación Económica o presupuestal y Pérdida Reputacional)",L50)</f>
        <v xml:space="preserve">     El riesgo afecta la imagen de alguna área de la organización</v>
      </c>
      <c r="N50" s="321" t="str">
        <f>IF(OR(M50='[3]Tabla Impacto'!$C$11,M50='[3]Tabla Impacto'!$D$11),"Leve",IF(OR(M50='[3]Tabla Impacto'!$C$12,M50='[3]Tabla Impacto'!$D$12),"Menor",IF(OR(M50='[3]Tabla Impacto'!$C$13,M50='[3]Tabla Impacto'!$D$13),"Moderado",IF(OR(M50='[3]Tabla Impacto'!$C$14,M50='[3]Tabla Impacto'!$D$14),"Mayor",IF(OR(M50='[3]Tabla Impacto'!$C$15,M50='[3]Tabla Impacto'!$D$15),"Catastrófico","")))))</f>
        <v>Leve</v>
      </c>
      <c r="O50" s="322">
        <f>IF(N50="","",IF(N50="Leve",0.2,IF(N50="Menor",0.4,IF(N50="Moderado",0.6,IF(N50="Mayor",0.8,IF(N50="Catastrófico",1,))))))</f>
        <v>0.2</v>
      </c>
      <c r="P50" s="309" t="str">
        <f>IF(OR(AND(J50="Muy Baja",N50="Leve"),AND(J50="Muy Baja",N50="Menor"),AND(J50="Baja",N50="Leve")),"Bajo",IF(OR(AND(J50="Muy baja",N50="Moderado"),AND(J50="Baja",N50="Menor"),AND(J50="Baja",N50="Moderado"),AND(J50="Media",N50="Leve"),AND(J50="Media",N50="Menor"),AND(J50="Media",N50="Moderado"),AND(J50="Alta",N50="Leve"),AND(J50="Alta",N50="Menor")),"Moderado",IF(OR(AND(J50="Muy Baja",N50="Mayor"),AND(J50="Baja",N50="Mayor"),AND(J50="Media",N50="Mayor"),AND(J50="Alta",N50="Moderado"),AND(J50="Alta",N50="Mayor"),AND(J50="Muy Alta",N50="Leve"),AND(J50="Muy Alta",N50="Menor"),AND(J50="Muy Alta",N50="Moderado"),AND(J50="Muy Alta",N50="Mayor")),"Alto",IF(OR(AND(J50="Muy Baja",N50="Catastrófico"),AND(J50="Baja",N50="Catastrófico"),AND(J50="Media",N50="Catastrófico"),AND(J50="Alta",N50="Catastrófico"),AND(J50="Muy Alta",N50="Catastrófico")),"Extremo",""))))</f>
        <v>Alto</v>
      </c>
      <c r="Q50" s="140">
        <v>1</v>
      </c>
      <c r="R50" s="157" t="s">
        <v>307</v>
      </c>
      <c r="S50" s="141" t="str">
        <f t="shared" si="25"/>
        <v>Probabilidad</v>
      </c>
      <c r="T50" s="142" t="s">
        <v>14</v>
      </c>
      <c r="U50" s="142" t="s">
        <v>9</v>
      </c>
      <c r="V50" s="143" t="str">
        <f t="shared" si="13"/>
        <v>40%</v>
      </c>
      <c r="W50" s="142" t="s">
        <v>20</v>
      </c>
      <c r="X50" s="142" t="s">
        <v>23</v>
      </c>
      <c r="Y50" s="142" t="s">
        <v>119</v>
      </c>
      <c r="Z50" s="144">
        <f>IFERROR(IF(S50="Probabilidad",(K50-(+K50*V50)),IF(S50="Impacto",K50,"")),"")</f>
        <v>0.6</v>
      </c>
      <c r="AA50" s="162" t="str">
        <f>IFERROR(IF(Z50="","",IF(Z50&lt;=0.2,"Muy Baja",IF(Z50&lt;=0.4,"Baja",IF(Z50&lt;=0.6,"Media",IF(Z50&lt;=0.8,"Alta","Muy Alta"))))),"")</f>
        <v>Media</v>
      </c>
      <c r="AB50" s="143">
        <f t="shared" si="21"/>
        <v>0.6</v>
      </c>
      <c r="AC50" s="162" t="str">
        <f t="shared" si="22"/>
        <v>Leve</v>
      </c>
      <c r="AD50" s="143">
        <f>IFERROR(IF(S50="Impacto",(O50-(+O50*V50)),IF(S50="Probabilidad",O50,"")),"")</f>
        <v>0.2</v>
      </c>
      <c r="AE50" s="163" t="str">
        <f t="shared" si="23"/>
        <v>Moderado</v>
      </c>
      <c r="AF50" s="142" t="s">
        <v>32</v>
      </c>
      <c r="AG50" s="166" t="s">
        <v>308</v>
      </c>
      <c r="AH50" s="166" t="s">
        <v>309</v>
      </c>
      <c r="AI50" s="173">
        <v>45463</v>
      </c>
      <c r="AJ50" s="173" t="s">
        <v>272</v>
      </c>
      <c r="AK50" s="394" t="s">
        <v>557</v>
      </c>
      <c r="AL50" s="394" t="s">
        <v>550</v>
      </c>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row>
    <row r="51" spans="1:70" ht="51" customHeight="1" x14ac:dyDescent="0.3">
      <c r="A51" s="319"/>
      <c r="B51" s="317"/>
      <c r="C51" s="319"/>
      <c r="D51" s="303"/>
      <c r="E51" s="320"/>
      <c r="F51" s="303"/>
      <c r="G51" s="320"/>
      <c r="H51" s="303"/>
      <c r="I51" s="362"/>
      <c r="J51" s="321"/>
      <c r="K51" s="322"/>
      <c r="L51" s="347"/>
      <c r="M51" s="310">
        <f>IF(NOT(ISERROR(MATCH(L51,_xlfn.ANCHORARRAY(#REF!),0))),#REF!&amp;"Por favor no seleccionar los criterios de impacto",L51)</f>
        <v>0</v>
      </c>
      <c r="N51" s="321"/>
      <c r="O51" s="322"/>
      <c r="P51" s="309"/>
      <c r="Q51" s="140">
        <v>2</v>
      </c>
      <c r="R51" s="157" t="s">
        <v>310</v>
      </c>
      <c r="S51" s="141" t="str">
        <f t="shared" si="25"/>
        <v>Impacto</v>
      </c>
      <c r="T51" s="142" t="s">
        <v>16</v>
      </c>
      <c r="U51" s="142" t="s">
        <v>9</v>
      </c>
      <c r="V51" s="143" t="str">
        <f t="shared" si="13"/>
        <v>25%</v>
      </c>
      <c r="W51" s="142" t="s">
        <v>19</v>
      </c>
      <c r="X51" s="142" t="s">
        <v>22</v>
      </c>
      <c r="Y51" s="142" t="s">
        <v>119</v>
      </c>
      <c r="Z51" s="144">
        <f>IFERROR(IF(AND(S50="Probabilidad",S51="Probabilidad"),(AB50-(+AB50*V51)),IF(S51="Probabilidad",(K50-(+K50*V51)),IF(S51="Impacto",AB50,""))),"")</f>
        <v>0.6</v>
      </c>
      <c r="AA51" s="162" t="str">
        <f t="shared" ref="AA51:AA52" si="26">IFERROR(IF(Z51="","",IF(Z51&lt;=0.2,"Muy Baja",IF(Z51&lt;=0.4,"Baja",IF(Z51&lt;=0.6,"Media",IF(Z51&lt;=0.8,"Alta","Muy Alta"))))),"")</f>
        <v>Media</v>
      </c>
      <c r="AB51" s="143">
        <v>0.6</v>
      </c>
      <c r="AC51" s="162" t="str">
        <f t="shared" si="22"/>
        <v>Leve</v>
      </c>
      <c r="AD51" s="143">
        <v>0.2</v>
      </c>
      <c r="AE51" s="163" t="str">
        <f t="shared" si="23"/>
        <v>Moderado</v>
      </c>
      <c r="AF51" s="142" t="s">
        <v>32</v>
      </c>
      <c r="AG51" s="166" t="s">
        <v>311</v>
      </c>
      <c r="AH51" s="166" t="s">
        <v>309</v>
      </c>
      <c r="AI51" s="173">
        <v>45463</v>
      </c>
      <c r="AJ51" s="173" t="s">
        <v>272</v>
      </c>
      <c r="AK51" s="395"/>
      <c r="AL51" s="39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row>
    <row r="52" spans="1:70" ht="82.5" customHeight="1" x14ac:dyDescent="0.3">
      <c r="A52" s="319">
        <v>16</v>
      </c>
      <c r="B52" s="317"/>
      <c r="C52" s="319">
        <v>7</v>
      </c>
      <c r="D52" s="320" t="s">
        <v>131</v>
      </c>
      <c r="E52" s="320" t="s">
        <v>312</v>
      </c>
      <c r="F52" s="320" t="s">
        <v>313</v>
      </c>
      <c r="G52" s="320" t="s">
        <v>314</v>
      </c>
      <c r="H52" s="303" t="s">
        <v>123</v>
      </c>
      <c r="I52" s="362" t="s">
        <v>315</v>
      </c>
      <c r="J52" s="321" t="str">
        <f>IF(I52&lt;=0,"",IF(I52&lt;=2,"Muy Baja",IF(I52&lt;=24,"Baja",IF(I52&lt;=500,"Media",IF(I52&lt;=5000,"Alta","Muy Alta")))))</f>
        <v>Muy Alta</v>
      </c>
      <c r="K52" s="322">
        <f>IF(J52="","",IF(J52="Muy Baja",0.2,IF(J52="Baja",0.4,IF(J52="Media",0.6,IF(J52="Alta",0.8,IF(J52="Muy Alta",1,))))))</f>
        <v>1</v>
      </c>
      <c r="L52" s="347" t="s">
        <v>148</v>
      </c>
      <c r="M52" s="310" t="str">
        <f>IF(NOT(ISERROR(MATCH(L52,'[3]Tabla Impacto'!$B$221:$B$223,0))),'[3]Tabla Impacto'!$F$223&amp;"Por favor no seleccionar los criterios de impacto(Afectación Económica o presupuestal y Pérdida Reputacional)",L52)</f>
        <v xml:space="preserve">     El riesgo afecta la imagen de alguna área de la organización</v>
      </c>
      <c r="N52" s="321" t="str">
        <f>IF(OR(M52='[3]Tabla Impacto'!$C$11,M52='[3]Tabla Impacto'!$D$11),"Leve",IF(OR(M52='[3]Tabla Impacto'!$C$12,M52='[3]Tabla Impacto'!$D$12),"Menor",IF(OR(M52='[3]Tabla Impacto'!$C$13,M52='[3]Tabla Impacto'!$D$13),"Moderado",IF(OR(M52='[3]Tabla Impacto'!$C$14,M52='[3]Tabla Impacto'!$D$14),"Mayor",IF(OR(M52='[3]Tabla Impacto'!$C$15,M52='[3]Tabla Impacto'!$D$15),"Catastrófico","")))))</f>
        <v>Leve</v>
      </c>
      <c r="O52" s="322">
        <f>IF(N52="","",IF(N52="Leve",0.2,IF(N52="Menor",0.4,IF(N52="Moderado",0.6,IF(N52="Mayor",0.8,IF(N52="Catastrófico",1,))))))</f>
        <v>0.2</v>
      </c>
      <c r="P52" s="309" t="str">
        <f>IF(OR(AND(J52="Muy Baja",N52="Leve"),AND(J52="Muy Baja",N52="Menor"),AND(J52="Baja",N52="Leve")),"Bajo",IF(OR(AND(J52="Muy baja",N52="Moderado"),AND(J52="Baja",N52="Menor"),AND(J52="Baja",N52="Moderado"),AND(J52="Media",N52="Leve"),AND(J52="Media",N52="Menor"),AND(J52="Media",N52="Moderado"),AND(J52="Alta",N52="Leve"),AND(J52="Alta",N52="Menor")),"Moderado",IF(OR(AND(J52="Muy Baja",N52="Mayor"),AND(J52="Baja",N52="Mayor"),AND(J52="Media",N52="Mayor"),AND(J52="Alta",N52="Moderado"),AND(J52="Alta",N52="Mayor"),AND(J52="Muy Alta",N52="Leve"),AND(J52="Muy Alta",N52="Menor"),AND(J52="Muy Alta",N52="Moderado"),AND(J52="Muy Alta",N52="Mayor")),"Alto",IF(OR(AND(J52="Muy Baja",N52="Catastrófico"),AND(J52="Baja",N52="Catastrófico"),AND(J52="Media",N52="Catastrófico"),AND(J52="Alta",N52="Catastrófico"),AND(J52="Muy Alta",N52="Catastrófico")),"Extremo",""))))</f>
        <v>Alto</v>
      </c>
      <c r="Q52" s="140">
        <v>1</v>
      </c>
      <c r="R52" s="157" t="s">
        <v>316</v>
      </c>
      <c r="S52" s="141" t="str">
        <f t="shared" si="25"/>
        <v>Probabilidad</v>
      </c>
      <c r="T52" s="142" t="s">
        <v>14</v>
      </c>
      <c r="U52" s="142" t="s">
        <v>9</v>
      </c>
      <c r="V52" s="143" t="str">
        <f t="shared" si="13"/>
        <v>40%</v>
      </c>
      <c r="W52" s="142" t="s">
        <v>19</v>
      </c>
      <c r="X52" s="142" t="s">
        <v>23</v>
      </c>
      <c r="Y52" s="142" t="s">
        <v>119</v>
      </c>
      <c r="Z52" s="144">
        <f>IFERROR(IF(S52="Probabilidad",(K52-(+K52*V52)),IF(S52="Impacto",K52,"")),"")</f>
        <v>0.6</v>
      </c>
      <c r="AA52" s="162" t="str">
        <f t="shared" si="26"/>
        <v>Media</v>
      </c>
      <c r="AB52" s="143">
        <f t="shared" si="21"/>
        <v>0.6</v>
      </c>
      <c r="AC52" s="162" t="str">
        <f t="shared" si="22"/>
        <v>Leve</v>
      </c>
      <c r="AD52" s="143">
        <f>IFERROR(IF(S52="Impacto",(O52-(+O52*V52)),IF(S52="Probabilidad",O52,"")),"")</f>
        <v>0.2</v>
      </c>
      <c r="AE52" s="163" t="str">
        <f t="shared" si="23"/>
        <v>Moderado</v>
      </c>
      <c r="AF52" s="142" t="s">
        <v>32</v>
      </c>
      <c r="AG52" s="166" t="s">
        <v>317</v>
      </c>
      <c r="AH52" s="166" t="s">
        <v>318</v>
      </c>
      <c r="AI52" s="173">
        <v>45463</v>
      </c>
      <c r="AJ52" s="173" t="s">
        <v>272</v>
      </c>
      <c r="AK52" s="394" t="s">
        <v>557</v>
      </c>
      <c r="AL52" s="394" t="s">
        <v>550</v>
      </c>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row>
    <row r="53" spans="1:70" ht="82.5" customHeight="1" x14ac:dyDescent="0.3">
      <c r="A53" s="319"/>
      <c r="B53" s="317"/>
      <c r="C53" s="319"/>
      <c r="D53" s="320"/>
      <c r="E53" s="320"/>
      <c r="F53" s="320"/>
      <c r="G53" s="320"/>
      <c r="H53" s="303"/>
      <c r="I53" s="362"/>
      <c r="J53" s="321"/>
      <c r="K53" s="322"/>
      <c r="L53" s="347"/>
      <c r="M53" s="310"/>
      <c r="N53" s="321"/>
      <c r="O53" s="322"/>
      <c r="P53" s="309"/>
      <c r="Q53" s="140">
        <v>2</v>
      </c>
      <c r="R53" s="157" t="s">
        <v>319</v>
      </c>
      <c r="S53" s="141" t="str">
        <f t="shared" si="25"/>
        <v>Probabilidad</v>
      </c>
      <c r="T53" s="142" t="s">
        <v>14</v>
      </c>
      <c r="U53" s="142" t="s">
        <v>9</v>
      </c>
      <c r="V53" s="143" t="str">
        <f t="shared" si="13"/>
        <v>40%</v>
      </c>
      <c r="W53" s="142" t="s">
        <v>19</v>
      </c>
      <c r="X53" s="142" t="s">
        <v>23</v>
      </c>
      <c r="Y53" s="142" t="s">
        <v>119</v>
      </c>
      <c r="Z53" s="144"/>
      <c r="AA53" s="162" t="s">
        <v>107</v>
      </c>
      <c r="AB53" s="143">
        <v>0.6</v>
      </c>
      <c r="AC53" s="162" t="str">
        <f t="shared" si="22"/>
        <v>Leve</v>
      </c>
      <c r="AD53" s="143">
        <v>0.2</v>
      </c>
      <c r="AE53" s="163" t="str">
        <f t="shared" si="23"/>
        <v>Moderado</v>
      </c>
      <c r="AF53" s="142" t="s">
        <v>32</v>
      </c>
      <c r="AG53" s="166" t="s">
        <v>320</v>
      </c>
      <c r="AH53" s="166" t="s">
        <v>318</v>
      </c>
      <c r="AI53" s="173">
        <v>45463</v>
      </c>
      <c r="AJ53" s="173" t="s">
        <v>272</v>
      </c>
      <c r="AK53" s="396"/>
      <c r="AL53" s="396"/>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row>
    <row r="54" spans="1:70" ht="50.25" customHeight="1" x14ac:dyDescent="0.3">
      <c r="A54" s="319"/>
      <c r="B54" s="317"/>
      <c r="C54" s="319"/>
      <c r="D54" s="320"/>
      <c r="E54" s="320"/>
      <c r="F54" s="320"/>
      <c r="G54" s="320"/>
      <c r="H54" s="303"/>
      <c r="I54" s="362"/>
      <c r="J54" s="321"/>
      <c r="K54" s="322"/>
      <c r="L54" s="347"/>
      <c r="M54" s="310">
        <f>IF(NOT(ISERROR(MATCH(L54,_xlfn.ANCHORARRAY(G55),0))),#REF!&amp;"Por favor no seleccionar los criterios de impacto",L54)</f>
        <v>0</v>
      </c>
      <c r="N54" s="321"/>
      <c r="O54" s="322"/>
      <c r="P54" s="309"/>
      <c r="Q54" s="140">
        <v>3</v>
      </c>
      <c r="R54" s="157" t="s">
        <v>321</v>
      </c>
      <c r="S54" s="141" t="str">
        <f t="shared" si="25"/>
        <v>Probabilidad</v>
      </c>
      <c r="T54" s="142" t="s">
        <v>14</v>
      </c>
      <c r="U54" s="142" t="s">
        <v>9</v>
      </c>
      <c r="V54" s="143" t="str">
        <f t="shared" si="13"/>
        <v>40%</v>
      </c>
      <c r="W54" s="142" t="s">
        <v>19</v>
      </c>
      <c r="X54" s="142" t="s">
        <v>22</v>
      </c>
      <c r="Y54" s="142" t="s">
        <v>322</v>
      </c>
      <c r="Z54" s="144">
        <f>IFERROR(IF(AND(S52="Probabilidad",S54="Probabilidad"),(AB52-(+AB52*V54)),IF(S54="Probabilidad",(K52-(+K52*V54)),IF(S54="Impacto",AB52,""))),"")</f>
        <v>0.36</v>
      </c>
      <c r="AA54" s="162" t="str">
        <f t="shared" si="24"/>
        <v>Baja</v>
      </c>
      <c r="AB54" s="143">
        <f t="shared" si="21"/>
        <v>0.36</v>
      </c>
      <c r="AC54" s="162" t="str">
        <f>IFERROR(IF(AD54="","",IF(AD54&lt;=0.2,"Leve",IF(AD54&lt;=0.4,"Menor",IF(AD54&lt;=0.6,"Moderado",IF(AD54&lt;=0.8,"Mayor","Catastrófico"))))),"")</f>
        <v>Leve</v>
      </c>
      <c r="AD54" s="143">
        <f>IFERROR(IF(AND(S52="Impacto",S54="Impacto"),(AD50-(+AD50*V54)),IF(S54="Impacto",($O$42-(+$O$42*V54)),IF(S54="Probabilidad",AD50,""))),"")</f>
        <v>0.2</v>
      </c>
      <c r="AE54" s="163" t="str">
        <f t="shared" si="23"/>
        <v>Bajo</v>
      </c>
      <c r="AF54" s="142" t="s">
        <v>32</v>
      </c>
      <c r="AG54" s="166" t="s">
        <v>323</v>
      </c>
      <c r="AH54" s="166" t="s">
        <v>318</v>
      </c>
      <c r="AI54" s="173">
        <v>45463</v>
      </c>
      <c r="AJ54" s="173" t="s">
        <v>272</v>
      </c>
      <c r="AK54" s="395"/>
      <c r="AL54" s="39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row>
    <row r="55" spans="1:70" ht="101.25" customHeight="1" x14ac:dyDescent="0.3">
      <c r="A55" s="199">
        <v>17</v>
      </c>
      <c r="B55" s="317"/>
      <c r="C55" s="165">
        <v>9</v>
      </c>
      <c r="D55" s="161" t="s">
        <v>133</v>
      </c>
      <c r="E55" s="161" t="s">
        <v>324</v>
      </c>
      <c r="F55" s="161" t="s">
        <v>325</v>
      </c>
      <c r="G55" s="161" t="s">
        <v>326</v>
      </c>
      <c r="H55" s="166" t="s">
        <v>123</v>
      </c>
      <c r="I55" s="167" t="s">
        <v>327</v>
      </c>
      <c r="J55" s="177" t="str">
        <f>IF(I55&lt;=0,"",IF(I55&lt;=2,"Muy Baja",IF(I55&lt;=24,"Baja",IF(I55&lt;=500,"Media",IF(I55&lt;=5000,"Alta","Muy Alta")))))</f>
        <v>Muy Alta</v>
      </c>
      <c r="K55" s="182">
        <f>IF(J55="","",IF(J55="Muy Baja",0.2,IF(J55="Baja",0.4,IF(J55="Media",0.6,IF(J55="Alta",0.8,IF(J55="Muy Alta",1,))))))</f>
        <v>1</v>
      </c>
      <c r="L55" s="183" t="s">
        <v>148</v>
      </c>
      <c r="M55" s="147" t="str">
        <f>IF(NOT(ISERROR(MATCH(L55,'[3]Tabla Impacto'!$B$221:$B$223,0))),'[3]Tabla Impacto'!$F$223&amp;"Por favor no seleccionar los criterios de impacto(Afectación Económica o presupuestal y Pérdida Reputacional)",L55)</f>
        <v xml:space="preserve">     El riesgo afecta la imagen de alguna área de la organización</v>
      </c>
      <c r="N55" s="164" t="str">
        <f>IF(OR(M55='[3]Tabla Impacto'!$C$11,M55='[3]Tabla Impacto'!$D$11),"Leve",IF(OR(M55='[3]Tabla Impacto'!$C$12,M55='[3]Tabla Impacto'!$D$12),"Menor",IF(OR(M55='[3]Tabla Impacto'!$C$13,M55='[3]Tabla Impacto'!$D$13),"Moderado",IF(OR(M55='[3]Tabla Impacto'!$C$14,M55='[3]Tabla Impacto'!$D$14),"Mayor",IF(OR(M55='[3]Tabla Impacto'!$C$15,M55='[3]Tabla Impacto'!$D$15),"Catastrófico","")))))</f>
        <v>Leve</v>
      </c>
      <c r="O55" s="182">
        <f>IF(N55="","",IF(N55="Leve",0.2,IF(N55="Menor",0.4,IF(N55="Moderado",0.6,IF(N55="Mayor",0.8,IF(N55="Catastrófico",1,))))))</f>
        <v>0.2</v>
      </c>
      <c r="P55" s="141" t="str">
        <f>IF(OR(AND(J55="Muy Baja",N55="Leve"),AND(J55="Muy Baja",N55="Menor"),AND(J55="Baja",N55="Leve")),"Bajo",IF(OR(AND(J55="Muy baja",N55="Moderado"),AND(J55="Baja",N55="Menor"),AND(J55="Baja",N55="Moderado"),AND(J55="Media",N55="Leve"),AND(J55="Media",N55="Menor"),AND(J55="Media",N55="Moderado"),AND(J55="Alta",N55="Leve"),AND(J55="Alta",N55="Menor")),"Moderado",IF(OR(AND(J55="Muy Baja",N55="Mayor"),AND(J55="Baja",N55="Mayor"),AND(J55="Media",N55="Mayor"),AND(J55="Alta",N55="Moderado"),AND(J55="Alta",N55="Mayor"),AND(J55="Muy Alta",N55="Leve"),AND(J55="Muy Alta",N55="Menor"),AND(J55="Muy Alta",N55="Moderado"),AND(J55="Muy Alta",N55="Mayor")),"Alto",IF(OR(AND(J55="Muy Baja",N55="Catastrófico"),AND(J55="Baja",N55="Catastrófico"),AND(J55="Media",N55="Catastrófico"),AND(J55="Alta",N55="Catastrófico"),AND(J55="Muy Alta",N55="Catastrófico")),"Extremo",""))))</f>
        <v>Alto</v>
      </c>
      <c r="Q55" s="140">
        <v>1</v>
      </c>
      <c r="R55" s="157" t="s">
        <v>328</v>
      </c>
      <c r="S55" s="141" t="str">
        <f t="shared" si="25"/>
        <v>Probabilidad</v>
      </c>
      <c r="T55" s="142" t="s">
        <v>14</v>
      </c>
      <c r="U55" s="142" t="s">
        <v>9</v>
      </c>
      <c r="V55" s="143" t="str">
        <f t="shared" si="13"/>
        <v>40%</v>
      </c>
      <c r="W55" s="142" t="s">
        <v>19</v>
      </c>
      <c r="X55" s="142" t="s">
        <v>22</v>
      </c>
      <c r="Y55" s="142" t="s">
        <v>119</v>
      </c>
      <c r="Z55" s="144">
        <f>IFERROR(IF(S55="Probabilidad",(K55-(+K55*V55)),IF(S55="Impacto",K55,"")),"")</f>
        <v>0.6</v>
      </c>
      <c r="AA55" s="162" t="str">
        <f>IFERROR(IF(Z55="","",IF(Z55&lt;=0.2,"Muy Baja",IF(Z55&lt;=0.4,"Baja",IF(Z55&lt;=0.6,"Media",IF(Z55&lt;=0.8,"Alta","Muy Alta"))))),"")</f>
        <v>Media</v>
      </c>
      <c r="AB55" s="143">
        <f t="shared" si="21"/>
        <v>0.6</v>
      </c>
      <c r="AC55" s="162" t="str">
        <f>IFERROR(IF(AD55="","",IF(AD55&lt;=0.2,"Leve",IF(AD55&lt;=0.4,"Menor",IF(AD55&lt;=0.6,"Moderado",IF(AD55&lt;=0.8,"Mayor","Catastrófico"))))),"")</f>
        <v>Leve</v>
      </c>
      <c r="AD55" s="143">
        <f>IFERROR(IF(S55="Impacto",(O55-(+O55*V55)),IF(S55="Probabilidad",O55,"")),"")</f>
        <v>0.2</v>
      </c>
      <c r="AE55" s="163" t="str">
        <f t="shared" si="23"/>
        <v>Moderado</v>
      </c>
      <c r="AF55" s="142" t="s">
        <v>32</v>
      </c>
      <c r="AG55" s="166"/>
      <c r="AH55" s="166"/>
      <c r="AI55" s="173"/>
      <c r="AJ55" s="173"/>
      <c r="AK55" s="166"/>
      <c r="AL55" s="166"/>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row>
    <row r="56" spans="1:70" ht="116.25" customHeight="1" x14ac:dyDescent="0.3">
      <c r="A56" s="199">
        <v>18</v>
      </c>
      <c r="B56" s="317"/>
      <c r="C56" s="165">
        <v>10</v>
      </c>
      <c r="D56" s="166" t="s">
        <v>133</v>
      </c>
      <c r="E56" s="166" t="s">
        <v>329</v>
      </c>
      <c r="F56" s="166" t="s">
        <v>330</v>
      </c>
      <c r="G56" s="161" t="s">
        <v>331</v>
      </c>
      <c r="H56" s="166" t="s">
        <v>123</v>
      </c>
      <c r="I56" s="167" t="s">
        <v>306</v>
      </c>
      <c r="J56" s="164" t="str">
        <f>IF(I56&lt;=0,"",IF(I56&lt;=2,"Muy Baja",IF(I56&lt;=24,"Baja",IF(I56&lt;=500,"Media",IF(I56&lt;=5000,"Alta","Muy Alta")))))</f>
        <v>Muy Alta</v>
      </c>
      <c r="K56" s="182">
        <f>IF(J56="","",IF(J56="Muy Baja",0.2,IF(J56="Baja",0.4,IF(J56="Media",0.6,IF(J56="Alta",0.8,IF(J56="Muy Alta",1,))))))</f>
        <v>1</v>
      </c>
      <c r="L56" s="183" t="s">
        <v>148</v>
      </c>
      <c r="M56" s="147" t="str">
        <f>IF(NOT(ISERROR(MATCH(L56,'[3]Tabla Impacto'!$B$221:$B$223,0))),'[3]Tabla Impacto'!$F$223&amp;"Por favor no seleccionar los criterios de impacto(Afectación Económica o presupuestal y Pérdida Reputacional)",L56)</f>
        <v xml:space="preserve">     El riesgo afecta la imagen de alguna área de la organización</v>
      </c>
      <c r="N56" s="164" t="str">
        <f>IF(OR(M56='[3]Tabla Impacto'!$C$11,M56='[3]Tabla Impacto'!$D$11),"Leve",IF(OR(M56='[3]Tabla Impacto'!$C$12,M56='[3]Tabla Impacto'!$D$12),"Menor",IF(OR(M56='[3]Tabla Impacto'!$C$13,M56='[3]Tabla Impacto'!$D$13),"Moderado",IF(OR(M56='[3]Tabla Impacto'!$C$14,M56='[3]Tabla Impacto'!$D$14),"Mayor",IF(OR(M56='[3]Tabla Impacto'!$C$15,M56='[3]Tabla Impacto'!$D$15),"Catastrófico","")))))</f>
        <v>Leve</v>
      </c>
      <c r="O56" s="182">
        <f>IF(N56="","",IF(N56="Leve",0.2,IF(N56="Menor",0.4,IF(N56="Moderado",0.6,IF(N56="Mayor",0.8,IF(N56="Catastrófico",1,))))))</f>
        <v>0.2</v>
      </c>
      <c r="P56" s="141" t="str">
        <f>IF(OR(AND(J56="Muy Baja",N56="Leve"),AND(J56="Muy Baja",N56="Menor"),AND(J56="Baja",N56="Leve")),"Bajo",IF(OR(AND(J56="Muy baja",N56="Moderado"),AND(J56="Baja",N56="Menor"),AND(J56="Baja",N56="Moderado"),AND(J56="Media",N56="Leve"),AND(J56="Media",N56="Menor"),AND(J56="Media",N56="Moderado"),AND(J56="Alta",N56="Leve"),AND(J56="Alta",N56="Menor")),"Moderado",IF(OR(AND(J56="Muy Baja",N56="Mayor"),AND(J56="Baja",N56="Mayor"),AND(J56="Media",N56="Mayor"),AND(J56="Alta",N56="Moderado"),AND(J56="Alta",N56="Mayor"),AND(J56="Muy Alta",N56="Leve"),AND(J56="Muy Alta",N56="Menor"),AND(J56="Muy Alta",N56="Moderado"),AND(J56="Muy Alta",N56="Mayor")),"Alto",IF(OR(AND(J56="Muy Baja",N56="Catastrófico"),AND(J56="Baja",N56="Catastrófico"),AND(J56="Media",N56="Catastrófico"),AND(J56="Alta",N56="Catastrófico"),AND(J56="Muy Alta",N56="Catastrófico")),"Extremo",""))))</f>
        <v>Alto</v>
      </c>
      <c r="Q56" s="140">
        <v>1</v>
      </c>
      <c r="R56" s="157" t="s">
        <v>332</v>
      </c>
      <c r="S56" s="141" t="str">
        <f t="shared" si="25"/>
        <v>Probabilidad</v>
      </c>
      <c r="T56" s="142" t="s">
        <v>14</v>
      </c>
      <c r="U56" s="142" t="s">
        <v>9</v>
      </c>
      <c r="V56" s="143" t="str">
        <f t="shared" si="13"/>
        <v>40%</v>
      </c>
      <c r="W56" s="142" t="s">
        <v>20</v>
      </c>
      <c r="X56" s="142" t="s">
        <v>22</v>
      </c>
      <c r="Y56" s="142" t="s">
        <v>120</v>
      </c>
      <c r="Z56" s="144">
        <f>IFERROR(IF(S56="Probabilidad",(K56-(+K56*V56)),IF(S56="Impacto",K56,"")),"")</f>
        <v>0.6</v>
      </c>
      <c r="AA56" s="162" t="str">
        <f>IFERROR(IF(Z56="","",IF(Z56&lt;=0.2,"Muy Baja",IF(Z56&lt;=0.4,"Baja",IF(Z56&lt;=0.6,"Media",IF(Z56&lt;=0.8,"Alta","Muy Alta"))))),"")</f>
        <v>Media</v>
      </c>
      <c r="AB56" s="143">
        <f t="shared" si="21"/>
        <v>0.6</v>
      </c>
      <c r="AC56" s="162" t="str">
        <f>IFERROR(IF(AD56="","",IF(AD56&lt;=0.2,"Leve",IF(AD56&lt;=0.4,"Menor",IF(AD56&lt;=0.6,"Moderado",IF(AD56&lt;=0.8,"Mayor","Catastrófico"))))),"")</f>
        <v>Leve</v>
      </c>
      <c r="AD56" s="143">
        <f>IFERROR(IF(S56="Impacto",(O56-(+O56*V56)),IF(S56="Probabilidad",O56,"")),"")</f>
        <v>0.2</v>
      </c>
      <c r="AE56" s="163" t="str">
        <f t="shared" si="23"/>
        <v>Moderado</v>
      </c>
      <c r="AF56" s="142" t="s">
        <v>32</v>
      </c>
      <c r="AG56" s="166" t="s">
        <v>333</v>
      </c>
      <c r="AH56" s="166" t="s">
        <v>334</v>
      </c>
      <c r="AI56" s="173">
        <v>45463</v>
      </c>
      <c r="AJ56" s="173" t="s">
        <v>272</v>
      </c>
      <c r="AK56" s="166" t="s">
        <v>558</v>
      </c>
      <c r="AL56" s="166" t="s">
        <v>550</v>
      </c>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row>
    <row r="57" spans="1:70" s="136" customFormat="1" ht="167.25" customHeight="1" x14ac:dyDescent="0.25">
      <c r="A57" s="199">
        <v>19</v>
      </c>
      <c r="B57" s="317" t="s">
        <v>452</v>
      </c>
      <c r="C57" s="165">
        <v>1</v>
      </c>
      <c r="D57" s="166" t="s">
        <v>131</v>
      </c>
      <c r="E57" s="166" t="s">
        <v>335</v>
      </c>
      <c r="F57" s="166" t="s">
        <v>336</v>
      </c>
      <c r="G57" s="161" t="s">
        <v>337</v>
      </c>
      <c r="H57" s="166" t="s">
        <v>123</v>
      </c>
      <c r="I57" s="167">
        <v>365</v>
      </c>
      <c r="J57" s="164" t="str">
        <f t="shared" ref="J57:J63" si="27">IF(I57&lt;=0,"",IF(I57&lt;=2,"Muy Baja",IF(I57&lt;=24,"Baja",IF(I57&lt;=500,"Media",IF(I57&lt;=5000,"Alta","Muy Alta")))))</f>
        <v>Media</v>
      </c>
      <c r="K57" s="182">
        <f t="shared" ref="K57:K63" si="28">IF(J57="","",IF(J57="Muy Baja",0.2,IF(J57="Baja",0.4,IF(J57="Media",0.6,IF(J57="Alta",0.8,IF(J57="Muy Alta",1,))))))</f>
        <v>0.6</v>
      </c>
      <c r="L57" s="183" t="s">
        <v>151</v>
      </c>
      <c r="M57" s="147" t="str">
        <f>IF(NOT(ISERROR(MATCH(L57,'[4]Tabla Impacto'!$B$221:$B$223,0))),'[4]Tabla Impacto'!$F$223&amp;"Por favor no seleccionar los criterios de impacto(Afectación Económica o presupuestal y Pérdida Reputacional)",L57)</f>
        <v xml:space="preserve">     El riesgo afecta la imagen de de la entidad con efecto publicitario sostenido a nivel de sector administrativo, nivel departamental o municipal</v>
      </c>
      <c r="N57" s="164" t="str">
        <f>IF(OR(M57='[4]Tabla Impacto'!$C$11,M57='[4]Tabla Impacto'!$D$11),"Leve",IF(OR(M57='[4]Tabla Impacto'!$C$12,M57='[4]Tabla Impacto'!$D$12),"Menor",IF(OR(M57='[4]Tabla Impacto'!$C$13,M57='[4]Tabla Impacto'!$D$13),"Moderado",IF(OR(M57='[4]Tabla Impacto'!$C$14,M57='[4]Tabla Impacto'!$D$14),"Mayor",IF(OR(M57='[4]Tabla Impacto'!$C$15,M57='[4]Tabla Impacto'!$D$15),"Catastrófico","")))))</f>
        <v>Mayor</v>
      </c>
      <c r="O57" s="182">
        <f t="shared" ref="O57:O63" si="29">IF(N57="","",IF(N57="Leve",0.2,IF(N57="Menor",0.4,IF(N57="Moderado",0.6,IF(N57="Mayor",0.8,IF(N57="Catastrófico",1,))))))</f>
        <v>0.8</v>
      </c>
      <c r="P57" s="141" t="str">
        <f t="shared" ref="P57:P63" si="30">IF(OR(AND(J57="Muy Baja",N57="Leve"),AND(J57="Muy Baja",N57="Menor"),AND(J57="Baja",N57="Leve")),"Bajo",IF(OR(AND(J57="Muy baja",N57="Moderado"),AND(J57="Baja",N57="Menor"),AND(J57="Baja",N57="Moderado"),AND(J57="Media",N57="Leve"),AND(J57="Media",N57="Menor"),AND(J57="Media",N57="Moderado"),AND(J57="Alta",N57="Leve"),AND(J57="Alta",N57="Menor")),"Moderado",IF(OR(AND(J57="Muy Baja",N57="Mayor"),AND(J57="Baja",N57="Mayor"),AND(J57="Media",N57="Mayor"),AND(J57="Alta",N57="Moderado"),AND(J57="Alta",N57="Mayor"),AND(J57="Muy Alta",N57="Leve"),AND(J57="Muy Alta",N57="Menor"),AND(J57="Muy Alta",N57="Moderado"),AND(J57="Muy Alta",N57="Mayor")),"Alto",IF(OR(AND(J57="Muy Baja",N57="Catastrófico"),AND(J57="Baja",N57="Catastrófico"),AND(J57="Media",N57="Catastrófico"),AND(J57="Alta",N57="Catastrófico"),AND(J57="Muy Alta",N57="Catastrófico")),"Extremo",""))))</f>
        <v>Alto</v>
      </c>
      <c r="Q57" s="140">
        <v>1</v>
      </c>
      <c r="R57" s="157" t="s">
        <v>338</v>
      </c>
      <c r="S57" s="141" t="str">
        <f t="shared" ref="S57:S63" si="31">IF(OR(T57="Preventivo",T57="Detectivo"),"Probabilidad",IF(T57="Correctivo","Impacto",""))</f>
        <v>Probabilidad</v>
      </c>
      <c r="T57" s="142" t="s">
        <v>14</v>
      </c>
      <c r="U57" s="142" t="s">
        <v>9</v>
      </c>
      <c r="V57" s="143" t="str">
        <f t="shared" si="13"/>
        <v>40%</v>
      </c>
      <c r="W57" s="142" t="s">
        <v>19</v>
      </c>
      <c r="X57" s="142" t="s">
        <v>22</v>
      </c>
      <c r="Y57" s="142" t="s">
        <v>119</v>
      </c>
      <c r="Z57" s="144">
        <f t="shared" ref="Z57:Z63" si="32">IFERROR(IF(S57="Probabilidad",(K57-(+K57*V57)),IF(S57="Impacto",K57,"")),"")</f>
        <v>0.36</v>
      </c>
      <c r="AA57" s="162" t="str">
        <f t="shared" ref="AA57:AA63" si="33">IFERROR(IF(Z57="","",IF(Z57&lt;=0.2,"Muy Baja",IF(Z57&lt;=0.4,"Baja",IF(Z57&lt;=0.6,"Media",IF(Z57&lt;=0.8,"Alta","Muy Alta"))))),"")</f>
        <v>Baja</v>
      </c>
      <c r="AB57" s="143">
        <f t="shared" si="21"/>
        <v>0.36</v>
      </c>
      <c r="AC57" s="162" t="str">
        <f t="shared" ref="AC57:AC63" si="34">IFERROR(IF(AD57="","",IF(AD57&lt;=0.2,"Leve",IF(AD57&lt;=0.4,"Menor",IF(AD57&lt;=0.6,"Moderado",IF(AD57&lt;=0.8,"Mayor","Catastrófico"))))),"")</f>
        <v>Mayor</v>
      </c>
      <c r="AD57" s="143">
        <f t="shared" ref="AD57:AD63" si="35">IFERROR(IF(S57="Impacto",(O57-(+O57*V57)),IF(S57="Probabilidad",O57,"")),"")</f>
        <v>0.8</v>
      </c>
      <c r="AE57" s="163" t="str">
        <f t="shared" si="23"/>
        <v>Alto</v>
      </c>
      <c r="AF57" s="172" t="s">
        <v>32</v>
      </c>
      <c r="AG57" s="166" t="s">
        <v>339</v>
      </c>
      <c r="AH57" s="166" t="s">
        <v>340</v>
      </c>
      <c r="AI57" s="173">
        <v>43732</v>
      </c>
      <c r="AJ57" s="173" t="s">
        <v>272</v>
      </c>
      <c r="AK57" s="166" t="s">
        <v>560</v>
      </c>
      <c r="AL57" s="166" t="s">
        <v>41</v>
      </c>
      <c r="AM57" s="135"/>
      <c r="AN57" s="135"/>
      <c r="AO57" s="135"/>
      <c r="AP57" s="135"/>
      <c r="AQ57" s="135"/>
      <c r="AR57" s="135"/>
      <c r="AS57" s="135"/>
      <c r="AT57" s="135"/>
      <c r="AU57" s="135"/>
      <c r="AV57" s="135"/>
      <c r="AW57" s="135"/>
      <c r="AX57" s="135"/>
      <c r="AY57" s="135"/>
      <c r="AZ57" s="135"/>
      <c r="BA57" s="135"/>
      <c r="BB57" s="135"/>
      <c r="BC57" s="135"/>
      <c r="BD57" s="135"/>
      <c r="BE57" s="135"/>
      <c r="BF57" s="135"/>
      <c r="BG57" s="135"/>
      <c r="BH57" s="135"/>
      <c r="BI57" s="135"/>
      <c r="BJ57" s="135"/>
      <c r="BK57" s="135"/>
      <c r="BL57" s="135"/>
      <c r="BM57" s="135"/>
      <c r="BN57" s="135"/>
      <c r="BO57" s="135"/>
      <c r="BP57" s="135"/>
      <c r="BQ57" s="135"/>
      <c r="BR57" s="135"/>
    </row>
    <row r="58" spans="1:70" ht="198.75" customHeight="1" x14ac:dyDescent="0.3">
      <c r="A58" s="199">
        <v>20</v>
      </c>
      <c r="B58" s="317"/>
      <c r="C58" s="165">
        <v>2</v>
      </c>
      <c r="D58" s="166" t="s">
        <v>131</v>
      </c>
      <c r="E58" s="166" t="s">
        <v>342</v>
      </c>
      <c r="F58" s="166" t="s">
        <v>343</v>
      </c>
      <c r="G58" s="161" t="s">
        <v>344</v>
      </c>
      <c r="H58" s="166" t="s">
        <v>123</v>
      </c>
      <c r="I58" s="167">
        <v>6</v>
      </c>
      <c r="J58" s="164" t="str">
        <f t="shared" si="27"/>
        <v>Baja</v>
      </c>
      <c r="K58" s="182">
        <f t="shared" si="28"/>
        <v>0.4</v>
      </c>
      <c r="L58" s="183" t="s">
        <v>151</v>
      </c>
      <c r="M58" s="147" t="str">
        <f>IF(NOT(ISERROR(MATCH(L58,'[4]Tabla Impacto'!$B$221:$B$223,0))),'[4]Tabla Impacto'!$F$223&amp;"Por favor no seleccionar los criterios de impacto(Afectación Económica o presupuestal y Pérdida Reputacional)",L58)</f>
        <v xml:space="preserve">     El riesgo afecta la imagen de de la entidad con efecto publicitario sostenido a nivel de sector administrativo, nivel departamental o municipal</v>
      </c>
      <c r="N58" s="164" t="str">
        <f>IF(OR(M58='[4]Tabla Impacto'!$C$11,M58='[4]Tabla Impacto'!$D$11),"Leve",IF(OR(M58='[4]Tabla Impacto'!$C$12,M58='[4]Tabla Impacto'!$D$12),"Menor",IF(OR(M58='[4]Tabla Impacto'!$C$13,M58='[4]Tabla Impacto'!$D$13),"Moderado",IF(OR(M58='[4]Tabla Impacto'!$C$14,M58='[4]Tabla Impacto'!$D$14),"Mayor",IF(OR(M58='[4]Tabla Impacto'!$C$15,M58='[4]Tabla Impacto'!$D$15),"Catastrófico","")))))</f>
        <v>Mayor</v>
      </c>
      <c r="O58" s="182">
        <f t="shared" si="29"/>
        <v>0.8</v>
      </c>
      <c r="P58" s="141" t="str">
        <f t="shared" si="30"/>
        <v>Alto</v>
      </c>
      <c r="Q58" s="140">
        <v>1</v>
      </c>
      <c r="R58" s="157" t="s">
        <v>345</v>
      </c>
      <c r="S58" s="141" t="str">
        <f t="shared" si="31"/>
        <v>Probabilidad</v>
      </c>
      <c r="T58" s="142" t="s">
        <v>14</v>
      </c>
      <c r="U58" s="142" t="s">
        <v>9</v>
      </c>
      <c r="V58" s="143" t="str">
        <f t="shared" si="13"/>
        <v>40%</v>
      </c>
      <c r="W58" s="142" t="s">
        <v>19</v>
      </c>
      <c r="X58" s="142" t="s">
        <v>22</v>
      </c>
      <c r="Y58" s="142" t="s">
        <v>120</v>
      </c>
      <c r="Z58" s="144">
        <f t="shared" si="32"/>
        <v>0.24</v>
      </c>
      <c r="AA58" s="162" t="str">
        <f t="shared" si="33"/>
        <v>Baja</v>
      </c>
      <c r="AB58" s="143">
        <f t="shared" si="21"/>
        <v>0.24</v>
      </c>
      <c r="AC58" s="162" t="str">
        <f t="shared" si="34"/>
        <v>Mayor</v>
      </c>
      <c r="AD58" s="143">
        <f t="shared" si="35"/>
        <v>0.8</v>
      </c>
      <c r="AE58" s="163" t="str">
        <f t="shared" si="23"/>
        <v>Alto</v>
      </c>
      <c r="AF58" s="172" t="s">
        <v>32</v>
      </c>
      <c r="AG58" s="166" t="s">
        <v>346</v>
      </c>
      <c r="AH58" s="166" t="s">
        <v>340</v>
      </c>
      <c r="AI58" s="173">
        <v>43732</v>
      </c>
      <c r="AJ58" s="173" t="s">
        <v>272</v>
      </c>
      <c r="AK58" s="166" t="s">
        <v>559</v>
      </c>
      <c r="AL58" s="166" t="s">
        <v>41</v>
      </c>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row>
    <row r="59" spans="1:70" ht="265.5" customHeight="1" x14ac:dyDescent="0.3">
      <c r="A59" s="199">
        <v>21</v>
      </c>
      <c r="B59" s="317"/>
      <c r="C59" s="165">
        <v>3</v>
      </c>
      <c r="D59" s="166" t="s">
        <v>131</v>
      </c>
      <c r="E59" s="166" t="s">
        <v>347</v>
      </c>
      <c r="F59" s="166" t="s">
        <v>348</v>
      </c>
      <c r="G59" s="161" t="s">
        <v>349</v>
      </c>
      <c r="H59" s="166" t="s">
        <v>123</v>
      </c>
      <c r="I59" s="167">
        <v>365</v>
      </c>
      <c r="J59" s="164" t="str">
        <f t="shared" si="27"/>
        <v>Media</v>
      </c>
      <c r="K59" s="182">
        <f t="shared" si="28"/>
        <v>0.6</v>
      </c>
      <c r="L59" s="183" t="s">
        <v>151</v>
      </c>
      <c r="M59" s="147" t="str">
        <f>IF(NOT(ISERROR(MATCH(L59,'[4]Tabla Impacto'!$B$221:$B$223,0))),'[4]Tabla Impacto'!$F$223&amp;"Por favor no seleccionar los criterios de impacto(Afectación Económica o presupuestal y Pérdida Reputacional)",L59)</f>
        <v xml:space="preserve">     El riesgo afecta la imagen de de la entidad con efecto publicitario sostenido a nivel de sector administrativo, nivel departamental o municipal</v>
      </c>
      <c r="N59" s="164" t="str">
        <f>IF(OR(M59='[4]Tabla Impacto'!$C$11,M59='[4]Tabla Impacto'!$D$11),"Leve",IF(OR(M59='[4]Tabla Impacto'!$C$12,M59='[4]Tabla Impacto'!$D$12),"Menor",IF(OR(M59='[4]Tabla Impacto'!$C$13,M59='[4]Tabla Impacto'!$D$13),"Moderado",IF(OR(M59='[4]Tabla Impacto'!$C$14,M59='[4]Tabla Impacto'!$D$14),"Mayor",IF(OR(M59='[4]Tabla Impacto'!$C$15,M59='[4]Tabla Impacto'!$D$15),"Catastrófico","")))))</f>
        <v>Mayor</v>
      </c>
      <c r="O59" s="182">
        <f t="shared" si="29"/>
        <v>0.8</v>
      </c>
      <c r="P59" s="141" t="str">
        <f t="shared" si="30"/>
        <v>Alto</v>
      </c>
      <c r="Q59" s="140">
        <v>1</v>
      </c>
      <c r="R59" s="157" t="s">
        <v>350</v>
      </c>
      <c r="S59" s="141" t="str">
        <f t="shared" si="31"/>
        <v>Probabilidad</v>
      </c>
      <c r="T59" s="142" t="s">
        <v>14</v>
      </c>
      <c r="U59" s="142" t="s">
        <v>9</v>
      </c>
      <c r="V59" s="143" t="str">
        <f t="shared" si="13"/>
        <v>40%</v>
      </c>
      <c r="W59" s="142" t="s">
        <v>19</v>
      </c>
      <c r="X59" s="142" t="s">
        <v>22</v>
      </c>
      <c r="Y59" s="142"/>
      <c r="Z59" s="144">
        <f t="shared" si="32"/>
        <v>0.36</v>
      </c>
      <c r="AA59" s="162" t="str">
        <f t="shared" si="33"/>
        <v>Baja</v>
      </c>
      <c r="AB59" s="143">
        <f t="shared" si="21"/>
        <v>0.36</v>
      </c>
      <c r="AC59" s="162" t="str">
        <f t="shared" si="34"/>
        <v>Mayor</v>
      </c>
      <c r="AD59" s="143">
        <f t="shared" si="35"/>
        <v>0.8</v>
      </c>
      <c r="AE59" s="163" t="str">
        <f t="shared" si="23"/>
        <v>Alto</v>
      </c>
      <c r="AF59" s="172" t="s">
        <v>32</v>
      </c>
      <c r="AG59" s="166" t="s">
        <v>351</v>
      </c>
      <c r="AH59" s="166" t="s">
        <v>340</v>
      </c>
      <c r="AI59" s="173">
        <v>43732</v>
      </c>
      <c r="AJ59" s="173" t="s">
        <v>272</v>
      </c>
      <c r="AK59" s="166" t="s">
        <v>561</v>
      </c>
      <c r="AL59" s="166" t="s">
        <v>41</v>
      </c>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ht="193.5" customHeight="1" x14ac:dyDescent="0.3">
      <c r="A60" s="199">
        <v>22</v>
      </c>
      <c r="B60" s="317"/>
      <c r="C60" s="165">
        <v>4</v>
      </c>
      <c r="D60" s="166" t="s">
        <v>131</v>
      </c>
      <c r="E60" s="166" t="s">
        <v>352</v>
      </c>
      <c r="F60" s="166" t="s">
        <v>353</v>
      </c>
      <c r="G60" s="166" t="s">
        <v>354</v>
      </c>
      <c r="H60" s="166" t="s">
        <v>123</v>
      </c>
      <c r="I60" s="167">
        <v>365</v>
      </c>
      <c r="J60" s="164" t="str">
        <f t="shared" si="27"/>
        <v>Media</v>
      </c>
      <c r="K60" s="182">
        <f t="shared" si="28"/>
        <v>0.6</v>
      </c>
      <c r="L60" s="183" t="s">
        <v>151</v>
      </c>
      <c r="M60" s="147" t="str">
        <f>IF(NOT(ISERROR(MATCH(L60,'[4]Tabla Impacto'!$B$221:$B$223,0))),'[4]Tabla Impacto'!$F$223&amp;"Por favor no seleccionar los criterios de impacto(Afectación Económica o presupuestal y Pérdida Reputacional)",L60)</f>
        <v xml:space="preserve">     El riesgo afecta la imagen de de la entidad con efecto publicitario sostenido a nivel de sector administrativo, nivel departamental o municipal</v>
      </c>
      <c r="N60" s="164" t="str">
        <f>IF(OR(M60='[4]Tabla Impacto'!$C$11,M60='[4]Tabla Impacto'!$D$11),"Leve",IF(OR(M60='[4]Tabla Impacto'!$C$12,M60='[4]Tabla Impacto'!$D$12),"Menor",IF(OR(M60='[4]Tabla Impacto'!$C$13,M60='[4]Tabla Impacto'!$D$13),"Moderado",IF(OR(M60='[4]Tabla Impacto'!$C$14,M60='[4]Tabla Impacto'!$D$14),"Mayor",IF(OR(M60='[4]Tabla Impacto'!$C$15,M60='[4]Tabla Impacto'!$D$15),"Catastrófico","")))))</f>
        <v>Mayor</v>
      </c>
      <c r="O60" s="182">
        <f t="shared" si="29"/>
        <v>0.8</v>
      </c>
      <c r="P60" s="141" t="str">
        <f t="shared" si="30"/>
        <v>Alto</v>
      </c>
      <c r="Q60" s="140">
        <v>1</v>
      </c>
      <c r="R60" s="157" t="s">
        <v>355</v>
      </c>
      <c r="S60" s="141" t="str">
        <f t="shared" si="31"/>
        <v>Probabilidad</v>
      </c>
      <c r="T60" s="142" t="s">
        <v>14</v>
      </c>
      <c r="U60" s="142" t="s">
        <v>9</v>
      </c>
      <c r="V60" s="143" t="str">
        <f t="shared" si="13"/>
        <v>40%</v>
      </c>
      <c r="W60" s="142" t="s">
        <v>19</v>
      </c>
      <c r="X60" s="142" t="s">
        <v>22</v>
      </c>
      <c r="Y60" s="142" t="s">
        <v>119</v>
      </c>
      <c r="Z60" s="144">
        <f t="shared" si="32"/>
        <v>0.36</v>
      </c>
      <c r="AA60" s="162" t="str">
        <f t="shared" si="33"/>
        <v>Baja</v>
      </c>
      <c r="AB60" s="143">
        <f t="shared" si="21"/>
        <v>0.36</v>
      </c>
      <c r="AC60" s="162" t="str">
        <f t="shared" si="34"/>
        <v>Mayor</v>
      </c>
      <c r="AD60" s="143">
        <f t="shared" si="35"/>
        <v>0.8</v>
      </c>
      <c r="AE60" s="163" t="str">
        <f t="shared" si="23"/>
        <v>Alto</v>
      </c>
      <c r="AF60" s="172" t="s">
        <v>32</v>
      </c>
      <c r="AG60" s="166" t="s">
        <v>356</v>
      </c>
      <c r="AH60" s="166" t="s">
        <v>340</v>
      </c>
      <c r="AI60" s="173">
        <v>43732</v>
      </c>
      <c r="AJ60" s="173" t="s">
        <v>272</v>
      </c>
      <c r="AK60" s="166" t="s">
        <v>562</v>
      </c>
      <c r="AL60" s="166" t="s">
        <v>41</v>
      </c>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ht="199.5" customHeight="1" x14ac:dyDescent="0.3">
      <c r="A61" s="199">
        <v>23</v>
      </c>
      <c r="B61" s="317"/>
      <c r="C61" s="165">
        <v>5</v>
      </c>
      <c r="D61" s="166" t="s">
        <v>131</v>
      </c>
      <c r="E61" s="166" t="s">
        <v>357</v>
      </c>
      <c r="F61" s="166" t="s">
        <v>358</v>
      </c>
      <c r="G61" s="161" t="s">
        <v>359</v>
      </c>
      <c r="H61" s="166" t="s">
        <v>123</v>
      </c>
      <c r="I61" s="167">
        <v>365</v>
      </c>
      <c r="J61" s="164" t="str">
        <f t="shared" si="27"/>
        <v>Media</v>
      </c>
      <c r="K61" s="182">
        <f t="shared" si="28"/>
        <v>0.6</v>
      </c>
      <c r="L61" s="183" t="s">
        <v>151</v>
      </c>
      <c r="M61" s="147" t="str">
        <f>IF(NOT(ISERROR(MATCH(L61,'[4]Tabla Impacto'!$B$221:$B$223,0))),'[4]Tabla Impacto'!$F$223&amp;"Por favor no seleccionar los criterios de impacto(Afectación Económica o presupuestal y Pérdida Reputacional)",L61)</f>
        <v xml:space="preserve">     El riesgo afecta la imagen de de la entidad con efecto publicitario sostenido a nivel de sector administrativo, nivel departamental o municipal</v>
      </c>
      <c r="N61" s="164" t="str">
        <f>IF(OR(M61='[4]Tabla Impacto'!$C$11,M61='[4]Tabla Impacto'!$D$11),"Leve",IF(OR(M61='[4]Tabla Impacto'!$C$12,M61='[4]Tabla Impacto'!$D$12),"Menor",IF(OR(M61='[4]Tabla Impacto'!$C$13,M61='[4]Tabla Impacto'!$D$13),"Moderado",IF(OR(M61='[4]Tabla Impacto'!$C$14,M61='[4]Tabla Impacto'!$D$14),"Mayor",IF(OR(M61='[4]Tabla Impacto'!$C$15,M61='[4]Tabla Impacto'!$D$15),"Catastrófico","")))))</f>
        <v>Mayor</v>
      </c>
      <c r="O61" s="182">
        <f t="shared" si="29"/>
        <v>0.8</v>
      </c>
      <c r="P61" s="141" t="str">
        <f t="shared" si="30"/>
        <v>Alto</v>
      </c>
      <c r="Q61" s="140">
        <v>1</v>
      </c>
      <c r="R61" s="157" t="s">
        <v>360</v>
      </c>
      <c r="S61" s="141" t="str">
        <f t="shared" si="31"/>
        <v>Probabilidad</v>
      </c>
      <c r="T61" s="142" t="s">
        <v>14</v>
      </c>
      <c r="U61" s="142" t="s">
        <v>9</v>
      </c>
      <c r="V61" s="143" t="str">
        <f t="shared" si="13"/>
        <v>40%</v>
      </c>
      <c r="W61" s="142" t="s">
        <v>20</v>
      </c>
      <c r="X61" s="142" t="s">
        <v>22</v>
      </c>
      <c r="Y61" s="142" t="s">
        <v>119</v>
      </c>
      <c r="Z61" s="144">
        <f t="shared" si="32"/>
        <v>0.36</v>
      </c>
      <c r="AA61" s="162" t="str">
        <f t="shared" si="33"/>
        <v>Baja</v>
      </c>
      <c r="AB61" s="143">
        <f t="shared" si="21"/>
        <v>0.36</v>
      </c>
      <c r="AC61" s="162" t="str">
        <f t="shared" si="34"/>
        <v>Mayor</v>
      </c>
      <c r="AD61" s="143">
        <f t="shared" si="35"/>
        <v>0.8</v>
      </c>
      <c r="AE61" s="163" t="str">
        <f t="shared" si="23"/>
        <v>Alto</v>
      </c>
      <c r="AF61" s="172" t="s">
        <v>32</v>
      </c>
      <c r="AG61" s="166" t="s">
        <v>361</v>
      </c>
      <c r="AH61" s="166" t="s">
        <v>340</v>
      </c>
      <c r="AI61" s="173">
        <v>43732</v>
      </c>
      <c r="AJ61" s="173" t="s">
        <v>272</v>
      </c>
      <c r="AK61" s="166" t="s">
        <v>563</v>
      </c>
      <c r="AL61" s="166" t="s">
        <v>41</v>
      </c>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row>
    <row r="62" spans="1:70" ht="279" customHeight="1" x14ac:dyDescent="0.3">
      <c r="A62" s="199">
        <v>24</v>
      </c>
      <c r="B62" s="317"/>
      <c r="C62" s="165">
        <v>6</v>
      </c>
      <c r="D62" s="166" t="s">
        <v>131</v>
      </c>
      <c r="E62" s="166" t="s">
        <v>362</v>
      </c>
      <c r="F62" s="166" t="s">
        <v>363</v>
      </c>
      <c r="G62" s="161" t="s">
        <v>364</v>
      </c>
      <c r="H62" s="166" t="s">
        <v>123</v>
      </c>
      <c r="I62" s="167">
        <v>365</v>
      </c>
      <c r="J62" s="164" t="str">
        <f t="shared" si="27"/>
        <v>Media</v>
      </c>
      <c r="K62" s="182">
        <f t="shared" si="28"/>
        <v>0.6</v>
      </c>
      <c r="L62" s="183" t="s">
        <v>151</v>
      </c>
      <c r="M62" s="147" t="str">
        <f>IF(NOT(ISERROR(MATCH(L62,'[4]Tabla Impacto'!$B$221:$B$223,0))),'[4]Tabla Impacto'!$F$223&amp;"Por favor no seleccionar los criterios de impacto(Afectación Económica o presupuestal y Pérdida Reputacional)",L62)</f>
        <v xml:space="preserve">     El riesgo afecta la imagen de de la entidad con efecto publicitario sostenido a nivel de sector administrativo, nivel departamental o municipal</v>
      </c>
      <c r="N62" s="164" t="str">
        <f>IF(OR(M62='[4]Tabla Impacto'!$C$11,M62='[4]Tabla Impacto'!$D$11),"Leve",IF(OR(M62='[4]Tabla Impacto'!$C$12,M62='[4]Tabla Impacto'!$D$12),"Menor",IF(OR(M62='[4]Tabla Impacto'!$C$13,M62='[4]Tabla Impacto'!$D$13),"Moderado",IF(OR(M62='[4]Tabla Impacto'!$C$14,M62='[4]Tabla Impacto'!$D$14),"Mayor",IF(OR(M62='[4]Tabla Impacto'!$C$15,M62='[4]Tabla Impacto'!$D$15),"Catastrófico","")))))</f>
        <v>Mayor</v>
      </c>
      <c r="O62" s="182">
        <f t="shared" si="29"/>
        <v>0.8</v>
      </c>
      <c r="P62" s="141" t="str">
        <f t="shared" si="30"/>
        <v>Alto</v>
      </c>
      <c r="Q62" s="140">
        <v>1</v>
      </c>
      <c r="R62" s="157" t="s">
        <v>365</v>
      </c>
      <c r="S62" s="141" t="str">
        <f t="shared" si="31"/>
        <v>Probabilidad</v>
      </c>
      <c r="T62" s="142" t="s">
        <v>14</v>
      </c>
      <c r="U62" s="142" t="s">
        <v>9</v>
      </c>
      <c r="V62" s="143" t="str">
        <f t="shared" si="13"/>
        <v>40%</v>
      </c>
      <c r="W62" s="142" t="s">
        <v>20</v>
      </c>
      <c r="X62" s="142" t="s">
        <v>22</v>
      </c>
      <c r="Y62" s="142" t="s">
        <v>119</v>
      </c>
      <c r="Z62" s="144">
        <f t="shared" si="32"/>
        <v>0.36</v>
      </c>
      <c r="AA62" s="162" t="str">
        <f t="shared" si="33"/>
        <v>Baja</v>
      </c>
      <c r="AB62" s="143">
        <f t="shared" si="21"/>
        <v>0.36</v>
      </c>
      <c r="AC62" s="162" t="str">
        <f t="shared" si="34"/>
        <v>Mayor</v>
      </c>
      <c r="AD62" s="143">
        <f t="shared" si="35"/>
        <v>0.8</v>
      </c>
      <c r="AE62" s="163" t="str">
        <f t="shared" si="23"/>
        <v>Alto</v>
      </c>
      <c r="AF62" s="172" t="s">
        <v>32</v>
      </c>
      <c r="AG62" s="166" t="s">
        <v>565</v>
      </c>
      <c r="AH62" s="166" t="s">
        <v>340</v>
      </c>
      <c r="AI62" s="173">
        <v>43732</v>
      </c>
      <c r="AJ62" s="173" t="s">
        <v>272</v>
      </c>
      <c r="AK62" s="166" t="s">
        <v>341</v>
      </c>
      <c r="AL62" s="166" t="s">
        <v>41</v>
      </c>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row>
    <row r="63" spans="1:70" ht="220.5" customHeight="1" x14ac:dyDescent="0.3">
      <c r="A63" s="199">
        <v>25</v>
      </c>
      <c r="B63" s="317"/>
      <c r="C63" s="165">
        <v>7</v>
      </c>
      <c r="D63" s="166" t="s">
        <v>131</v>
      </c>
      <c r="E63" s="166" t="s">
        <v>366</v>
      </c>
      <c r="F63" s="166" t="s">
        <v>367</v>
      </c>
      <c r="G63" s="161" t="s">
        <v>368</v>
      </c>
      <c r="H63" s="166" t="s">
        <v>123</v>
      </c>
      <c r="I63" s="167">
        <v>365</v>
      </c>
      <c r="J63" s="164" t="str">
        <f t="shared" si="27"/>
        <v>Media</v>
      </c>
      <c r="K63" s="182">
        <f t="shared" si="28"/>
        <v>0.6</v>
      </c>
      <c r="L63" s="183" t="s">
        <v>151</v>
      </c>
      <c r="M63" s="147" t="str">
        <f>IF(NOT(ISERROR(MATCH(L63,'[4]Tabla Impacto'!$B$221:$B$223,0))),'[4]Tabla Impacto'!$F$223&amp;"Por favor no seleccionar los criterios de impacto(Afectación Económica o presupuestal y Pérdida Reputacional)",L63)</f>
        <v xml:space="preserve">     El riesgo afecta la imagen de de la entidad con efecto publicitario sostenido a nivel de sector administrativo, nivel departamental o municipal</v>
      </c>
      <c r="N63" s="164" t="str">
        <f>IF(OR(M63='[4]Tabla Impacto'!$C$11,M63='[4]Tabla Impacto'!$D$11),"Leve",IF(OR(M63='[4]Tabla Impacto'!$C$12,M63='[4]Tabla Impacto'!$D$12),"Menor",IF(OR(M63='[4]Tabla Impacto'!$C$13,M63='[4]Tabla Impacto'!$D$13),"Moderado",IF(OR(M63='[4]Tabla Impacto'!$C$14,M63='[4]Tabla Impacto'!$D$14),"Mayor",IF(OR(M63='[4]Tabla Impacto'!$C$15,M63='[4]Tabla Impacto'!$D$15),"Catastrófico","")))))</f>
        <v>Mayor</v>
      </c>
      <c r="O63" s="182">
        <f t="shared" si="29"/>
        <v>0.8</v>
      </c>
      <c r="P63" s="141" t="str">
        <f t="shared" si="30"/>
        <v>Alto</v>
      </c>
      <c r="Q63" s="140">
        <v>1</v>
      </c>
      <c r="R63" s="157" t="s">
        <v>369</v>
      </c>
      <c r="S63" s="141" t="str">
        <f t="shared" si="31"/>
        <v>Probabilidad</v>
      </c>
      <c r="T63" s="142" t="s">
        <v>14</v>
      </c>
      <c r="U63" s="142" t="s">
        <v>9</v>
      </c>
      <c r="V63" s="143" t="str">
        <f t="shared" si="13"/>
        <v>40%</v>
      </c>
      <c r="W63" s="142" t="s">
        <v>20</v>
      </c>
      <c r="X63" s="142" t="s">
        <v>22</v>
      </c>
      <c r="Y63" s="142" t="s">
        <v>119</v>
      </c>
      <c r="Z63" s="144">
        <f t="shared" si="32"/>
        <v>0.36</v>
      </c>
      <c r="AA63" s="162" t="str">
        <f t="shared" si="33"/>
        <v>Baja</v>
      </c>
      <c r="AB63" s="143">
        <f t="shared" si="21"/>
        <v>0.36</v>
      </c>
      <c r="AC63" s="162" t="str">
        <f t="shared" si="34"/>
        <v>Mayor</v>
      </c>
      <c r="AD63" s="143">
        <f t="shared" si="35"/>
        <v>0.8</v>
      </c>
      <c r="AE63" s="163" t="str">
        <f t="shared" si="23"/>
        <v>Alto</v>
      </c>
      <c r="AF63" s="172" t="s">
        <v>32</v>
      </c>
      <c r="AG63" s="166" t="s">
        <v>370</v>
      </c>
      <c r="AH63" s="166" t="s">
        <v>340</v>
      </c>
      <c r="AI63" s="173">
        <v>43732</v>
      </c>
      <c r="AJ63" s="173" t="s">
        <v>272</v>
      </c>
      <c r="AK63" s="166" t="s">
        <v>564</v>
      </c>
      <c r="AL63" s="166" t="s">
        <v>41</v>
      </c>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row>
    <row r="64" spans="1:70" ht="133.5" customHeight="1" x14ac:dyDescent="0.3">
      <c r="A64" s="386">
        <v>26</v>
      </c>
      <c r="B64" s="317" t="s">
        <v>532</v>
      </c>
      <c r="C64" s="386">
        <v>1</v>
      </c>
      <c r="D64" s="387" t="s">
        <v>131</v>
      </c>
      <c r="E64" s="387" t="s">
        <v>533</v>
      </c>
      <c r="F64" s="387" t="s">
        <v>534</v>
      </c>
      <c r="G64" s="388" t="s">
        <v>535</v>
      </c>
      <c r="H64" s="387" t="s">
        <v>125</v>
      </c>
      <c r="I64" s="389">
        <v>365</v>
      </c>
      <c r="J64" s="390" t="str">
        <f>IF(I64&lt;=0,"",IF(I64&lt;=2,"Muy Baja",IF(I64&lt;=24,"Baja",IF(I64&lt;=500,"Media",IF(I64&lt;=5000,"Alta","Muy Alta")))))</f>
        <v>Media</v>
      </c>
      <c r="K64" s="384">
        <f>IF(J64="","",IF(J64="Muy Baja",0.2,IF(J64="Baja",0.4,IF(J64="Media",0.6,IF(J64="Alta",0.8,IF(J64="Muy Alta",1,))))))</f>
        <v>0.6</v>
      </c>
      <c r="L64" s="391" t="s">
        <v>148</v>
      </c>
      <c r="M64" s="384" t="str">
        <f>IF(NOT(ISERROR(MATCH(L64,'[5]Tabla Impacto'!$B$221:$B$223,0))),'[5]Tabla Impacto'!$F$223&amp;"Por favor no seleccionar los criterios de impacto(Afectación Económica o presupuestal y Pérdida Reputacional)",L64)</f>
        <v xml:space="preserve">     El riesgo afecta la imagen de alguna área de la organización</v>
      </c>
      <c r="N64" s="383" t="str">
        <f>IF(OR(M64='[5]Tabla Impacto'!$C$11,M64='[5]Tabla Impacto'!$D$11),"Leve",IF(OR(M64='[5]Tabla Impacto'!$C$12,M64='[5]Tabla Impacto'!$D$12),"Menor",IF(OR(M64='[5]Tabla Impacto'!$C$13,M64='[5]Tabla Impacto'!$D$13),"Moderado",IF(OR(M64='[5]Tabla Impacto'!$C$14,M64='[5]Tabla Impacto'!$D$14),"Mayor",IF(OR(M64='[5]Tabla Impacto'!$C$15,M64='[5]Tabla Impacto'!$D$15),"Catastrófico","")))))</f>
        <v>Leve</v>
      </c>
      <c r="O64" s="384">
        <f>IF(N64="","",IF(N64="Leve",0.2,IF(N64="Menor",0.4,IF(N64="Moderado",0.6,IF(N64="Mayor",0.8,IF(N64="Catastrófico",1,))))))</f>
        <v>0.2</v>
      </c>
      <c r="P64" s="385" t="str">
        <f>IF(OR(AND(J64="Muy Baja",N64="Leve"),AND(J64="Muy Baja",N64="Menor"),AND(J64="Baja",N64="Leve")),"Bajo",IF(OR(AND(J64="Muy baja",N64="Moderado"),AND(J64="Baja",N64="Menor"),AND(J64="Baja",N64="Moderado"),AND(J64="Media",N64="Leve"),AND(J64="Media",N64="Menor"),AND(J64="Media",N64="Moderado"),AND(J64="Alta",N64="Leve"),AND(J64="Alta",N64="Menor")),"Moderado",IF(OR(AND(J64="Muy Baja",N64="Mayor"),AND(J64="Baja",N64="Mayor"),AND(J64="Media",N64="Mayor"),AND(J64="Alta",N64="Moderado"),AND(J64="Alta",N64="Mayor"),AND(J64="Muy Alta",N64="Leve"),AND(J64="Muy Alta",N64="Menor"),AND(J64="Muy Alta",N64="Moderado"),AND(J64="Muy Alta",N64="Mayor")),"Alto",IF(OR(AND(J64="Muy Baja",N64="Catastrófico"),AND(J64="Baja",N64="Catastrófico"),AND(J64="Media",N64="Catastrófico"),AND(J64="Alta",N64="Catastrófico"),AND(J64="Muy Alta",N64="Catastrófico")),"Extremo",""))))</f>
        <v>Moderado</v>
      </c>
      <c r="Q64" s="210">
        <v>1</v>
      </c>
      <c r="R64" s="211" t="s">
        <v>536</v>
      </c>
      <c r="S64" s="212" t="str">
        <f>IF(OR(T64="Preventivo",T64="Detectivo"),"Probabilidad",IF(T64="Correctivo","Impacto",""))</f>
        <v>Probabilidad</v>
      </c>
      <c r="T64" s="213" t="s">
        <v>14</v>
      </c>
      <c r="U64" s="213" t="s">
        <v>9</v>
      </c>
      <c r="V64" s="214" t="str">
        <f t="shared" ref="V64:V70" si="36">IF(AND(T64="Preventivo",U64="Automático"),"50%",IF(AND(T64="Preventivo",U64="Manual"),"40%",IF(AND(T64="Detectivo",U64="Automático"),"40%",IF(AND(T64="Detectivo",U64="Manual"),"30%",IF(AND(T64="Correctivo",U64="Automático"),"35%",IF(AND(T64="Correctivo",U64="Manual"),"25%",""))))))</f>
        <v>40%</v>
      </c>
      <c r="W64" s="213" t="s">
        <v>19</v>
      </c>
      <c r="X64" s="213" t="s">
        <v>22</v>
      </c>
      <c r="Y64" s="213" t="s">
        <v>119</v>
      </c>
      <c r="Z64" s="215">
        <f>IFERROR(IF(S64="Probabilidad",(K64-(+K64*V64)),IF(S64="Impacto",K64,"")),"")</f>
        <v>0.36</v>
      </c>
      <c r="AA64" s="222" t="str">
        <f t="shared" ref="AA64:AA70" si="37">IFERROR(IF(Z64="","",IF(Z64&lt;=0.2,"Muy Baja",IF(Z64&lt;=0.4,"Baja",IF(Z64&lt;=0.6,"Media",IF(Z64&lt;=0.8,"Alta","Muy Alta"))))),"")</f>
        <v>Baja</v>
      </c>
      <c r="AB64" s="214">
        <f t="shared" ref="AB64:AB70" si="38">+Z64</f>
        <v>0.36</v>
      </c>
      <c r="AC64" s="222" t="str">
        <f t="shared" ref="AC64:AC70" si="39">IFERROR(IF(AD64="","",IF(AD64&lt;=0.2,"Leve",IF(AD64&lt;=0.4,"Menor",IF(AD64&lt;=0.6,"Moderado",IF(AD64&lt;=0.8,"Mayor","Catastrófico"))))),"")</f>
        <v>Leve</v>
      </c>
      <c r="AD64" s="214">
        <f t="shared" ref="AD64:AD70" si="40">IFERROR(IF(S64="Impacto",(O64-(+O64*V64)),IF(S64="Probabilidad",O64,"")),"")</f>
        <v>0.2</v>
      </c>
      <c r="AE64" s="216" t="str">
        <f t="shared" ref="AE64:AE70" si="41">IFERROR(IF(OR(AND(AA64="Muy Baja",AC64="Leve"),AND(AA64="Muy Baja",AC64="Menor"),AND(AA64="Baja",AC64="Leve")),"Bajo",IF(OR(AND(AA64="Muy baja",AC64="Moderado"),AND(AA64="Baja",AC64="Menor"),AND(AA64="Baja",AC64="Moderado"),AND(AA64="Media",AC64="Leve"),AND(AA64="Media",AC64="Menor"),AND(AA64="Media",AC64="Moderado"),AND(AA64="Alta",AC64="Leve"),AND(AA64="Alta",AC64="Menor")),"Moderado",IF(OR(AND(AA64="Muy Baja",AC64="Mayor"),AND(AA64="Baja",AC64="Mayor"),AND(AA64="Media",AC64="Mayor"),AND(AA64="Alta",AC64="Moderado"),AND(AA64="Alta",AC64="Mayor"),AND(AA64="Muy Alta",AC64="Leve"),AND(AA64="Muy Alta",AC64="Menor"),AND(AA64="Muy Alta",AC64="Moderado"),AND(AA64="Muy Alta",AC64="Mayor")),"Alto",IF(OR(AND(AA64="Muy Baja",AC64="Catastrófico"),AND(AA64="Baja",AC64="Catastrófico"),AND(AA64="Media",AC64="Catastrófico"),AND(AA64="Alta",AC64="Catastrófico"),AND(AA64="Muy Alta",AC64="Catastrófico")),"Extremo","")))),"")</f>
        <v>Bajo</v>
      </c>
      <c r="AF64" s="213" t="s">
        <v>32</v>
      </c>
      <c r="AG64" s="217"/>
      <c r="AH64" s="218"/>
      <c r="AI64" s="219"/>
      <c r="AJ64" s="219"/>
      <c r="AK64" s="217"/>
      <c r="AL64" s="218"/>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row>
    <row r="65" spans="1:70" ht="99" customHeight="1" x14ac:dyDescent="0.3">
      <c r="A65" s="386"/>
      <c r="B65" s="317"/>
      <c r="C65" s="386"/>
      <c r="D65" s="387"/>
      <c r="E65" s="387"/>
      <c r="F65" s="387"/>
      <c r="G65" s="388"/>
      <c r="H65" s="387"/>
      <c r="I65" s="389"/>
      <c r="J65" s="390"/>
      <c r="K65" s="384"/>
      <c r="L65" s="391"/>
      <c r="M65" s="384"/>
      <c r="N65" s="383"/>
      <c r="O65" s="384"/>
      <c r="P65" s="385"/>
      <c r="Q65" s="210">
        <v>2</v>
      </c>
      <c r="R65" s="211" t="s">
        <v>537</v>
      </c>
      <c r="S65" s="212" t="str">
        <f>IF(OR(T65="Preventivo",T65="Detectivo"),"Probabilidad",IF(T65="Correctivo","Impacto",""))</f>
        <v>Probabilidad</v>
      </c>
      <c r="T65" s="213" t="s">
        <v>14</v>
      </c>
      <c r="U65" s="213" t="s">
        <v>9</v>
      </c>
      <c r="V65" s="214" t="str">
        <f t="shared" si="36"/>
        <v>40%</v>
      </c>
      <c r="W65" s="213" t="s">
        <v>19</v>
      </c>
      <c r="X65" s="213" t="s">
        <v>22</v>
      </c>
      <c r="Y65" s="213" t="s">
        <v>119</v>
      </c>
      <c r="Z65" s="215">
        <f t="array" ref="Z65">IFERROR(IF(S65="Probabilidad",(K64-(+K64*V65)),IF(X16Q15="Impacto",K64,"")),"")</f>
        <v>0.36</v>
      </c>
      <c r="AA65" s="222" t="str">
        <f t="shared" si="37"/>
        <v>Baja</v>
      </c>
      <c r="AB65" s="214">
        <f t="shared" si="38"/>
        <v>0.36</v>
      </c>
      <c r="AC65" s="222" t="str">
        <f t="shared" si="39"/>
        <v>Leve</v>
      </c>
      <c r="AD65" s="214">
        <f t="shared" si="40"/>
        <v>0</v>
      </c>
      <c r="AE65" s="216" t="str">
        <f t="shared" si="41"/>
        <v>Bajo</v>
      </c>
      <c r="AF65" s="213" t="s">
        <v>32</v>
      </c>
      <c r="AG65" s="217"/>
      <c r="AH65" s="218"/>
      <c r="AI65" s="219"/>
      <c r="AJ65" s="219"/>
      <c r="AK65" s="217"/>
      <c r="AL65" s="218"/>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row>
    <row r="66" spans="1:70" ht="105" customHeight="1" x14ac:dyDescent="0.3">
      <c r="A66" s="386"/>
      <c r="B66" s="317"/>
      <c r="C66" s="386"/>
      <c r="D66" s="387"/>
      <c r="E66" s="387"/>
      <c r="F66" s="387"/>
      <c r="G66" s="388"/>
      <c r="H66" s="387"/>
      <c r="I66" s="389"/>
      <c r="J66" s="390"/>
      <c r="K66" s="384"/>
      <c r="L66" s="391"/>
      <c r="M66" s="384">
        <f>IF(NOT(ISERROR(MATCH(L66,_xlfn.ANCHORARRAY(#REF!),0))),#REF!&amp;"Por favor no seleccionar los criterios de impacto",L66)</f>
        <v>0</v>
      </c>
      <c r="N66" s="383"/>
      <c r="O66" s="384"/>
      <c r="P66" s="385"/>
      <c r="Q66" s="220" t="s">
        <v>503</v>
      </c>
      <c r="R66" s="211" t="s">
        <v>538</v>
      </c>
      <c r="S66" s="212" t="str">
        <f>IF(OR(T66="Preventivo",T66="Detectivo"),"Probabilidad",IF(T66="Correctivo","Impacto",""))</f>
        <v>Probabilidad</v>
      </c>
      <c r="T66" s="213" t="s">
        <v>14</v>
      </c>
      <c r="U66" s="213" t="s">
        <v>9</v>
      </c>
      <c r="V66" s="214" t="str">
        <f t="shared" si="36"/>
        <v>40%</v>
      </c>
      <c r="W66" s="213" t="s">
        <v>19</v>
      </c>
      <c r="X66" s="213" t="s">
        <v>22</v>
      </c>
      <c r="Y66" s="213" t="s">
        <v>119</v>
      </c>
      <c r="Z66" s="215">
        <f>IFERROR(IF(AND(S64="Probabilidad",S66="Probabilidad"),(AB64-(+AB64*V66)),IF(S66="Probabilidad",(K64-(+K64*V66)),IF(S66="Impacto",AB64,""))),"")</f>
        <v>0.216</v>
      </c>
      <c r="AA66" s="222" t="str">
        <f t="shared" si="37"/>
        <v>Baja</v>
      </c>
      <c r="AB66" s="214">
        <f t="shared" si="38"/>
        <v>0.216</v>
      </c>
      <c r="AC66" s="222" t="str">
        <f t="shared" si="39"/>
        <v>Leve</v>
      </c>
      <c r="AD66" s="214">
        <f t="shared" si="40"/>
        <v>0</v>
      </c>
      <c r="AE66" s="216" t="str">
        <f t="shared" si="41"/>
        <v>Bajo</v>
      </c>
      <c r="AF66" s="213" t="s">
        <v>32</v>
      </c>
      <c r="AG66" s="217"/>
      <c r="AH66" s="218"/>
      <c r="AI66" s="219"/>
      <c r="AJ66" s="219"/>
      <c r="AK66" s="217"/>
      <c r="AL66" s="218"/>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row>
    <row r="67" spans="1:70" s="136" customFormat="1" ht="87.75" x14ac:dyDescent="0.3">
      <c r="A67" s="199">
        <v>27</v>
      </c>
      <c r="B67" s="317" t="s">
        <v>453</v>
      </c>
      <c r="C67" s="165">
        <v>1</v>
      </c>
      <c r="D67" s="166" t="s">
        <v>133</v>
      </c>
      <c r="E67" s="166" t="s">
        <v>371</v>
      </c>
      <c r="F67" s="166" t="s">
        <v>372</v>
      </c>
      <c r="G67" s="161" t="s">
        <v>373</v>
      </c>
      <c r="H67" s="166" t="s">
        <v>123</v>
      </c>
      <c r="I67" s="167" t="s">
        <v>374</v>
      </c>
      <c r="J67" s="164" t="str">
        <f>IF(I67&lt;=0,"",IF(I67&lt;=2,"Muy Baja",IF(I67&lt;=24,"Baja",IF(I67&lt;=500,"Media",IF(I67&lt;=5000,"Alta","Muy Alta")))))</f>
        <v>Muy Alta</v>
      </c>
      <c r="K67" s="182">
        <f>IF(J67="","",IF(J67="Muy Baja",0.2,IF(J67="Baja",0.4,IF(J67="Media",0.6,IF(J67="Alta",0.8,IF(J67="Muy Alta",1,))))))</f>
        <v>1</v>
      </c>
      <c r="L67" s="183" t="s">
        <v>148</v>
      </c>
      <c r="M67" s="147" t="str">
        <f>IF(NOT(ISERROR(MATCH(L67,'[6]Tabla Impacto'!$B$221:$B$223,0))),'[6]Tabla Impacto'!$F$223&amp;"Por favor no seleccionar los criterios de impacto(Afectación Económica o presupuestal y Pérdida Reputacional)",L67)</f>
        <v xml:space="preserve">     El riesgo afecta la imagen de alguna área de la organización</v>
      </c>
      <c r="N67" s="164" t="str">
        <f>IF(OR(M67='[6]Tabla Impacto'!$C$11,M67='[6]Tabla Impacto'!$D$11),"Leve",IF(OR(M67='[6]Tabla Impacto'!$C$12,M67='[6]Tabla Impacto'!$D$12),"Menor",IF(OR(M67='[6]Tabla Impacto'!$C$13,M67='[6]Tabla Impacto'!$D$13),"Moderado",IF(OR(M67='[6]Tabla Impacto'!$C$14,M67='[6]Tabla Impacto'!$D$14),"Mayor",IF(OR(M67='[6]Tabla Impacto'!$C$15,M67='[6]Tabla Impacto'!$D$15),"Catastrófico","")))))</f>
        <v>Leve</v>
      </c>
      <c r="O67" s="182">
        <f>IF(N67="","",IF(N67="Leve",0.2,IF(N67="Menor",0.4,IF(N67="Moderado",0.6,IF(N67="Mayor",0.8,IF(N67="Catastrófico",1,))))))</f>
        <v>0.2</v>
      </c>
      <c r="P67" s="141" t="str">
        <f>IF(OR(AND(J67="Muy Baja",N67="Leve"),AND(J67="Muy Baja",N67="Menor"),AND(J67="Baja",N67="Leve")),"Bajo",IF(OR(AND(J67="Muy baja",N67="Moderado"),AND(J67="Baja",N67="Menor"),AND(J67="Baja",N67="Moderado"),AND(J67="Media",N67="Leve"),AND(J67="Media",N67="Menor"),AND(J67="Media",N67="Moderado"),AND(J67="Alta",N67="Leve"),AND(J67="Alta",N67="Menor")),"Moderado",IF(OR(AND(J67="Muy Baja",N67="Mayor"),AND(J67="Baja",N67="Mayor"),AND(J67="Media",N67="Mayor"),AND(J67="Alta",N67="Moderado"),AND(J67="Alta",N67="Mayor"),AND(J67="Muy Alta",N67="Leve"),AND(J67="Muy Alta",N67="Menor"),AND(J67="Muy Alta",N67="Moderado"),AND(J67="Muy Alta",N67="Mayor")),"Alto",IF(OR(AND(J67="Muy Baja",N67="Catastrófico"),AND(J67="Baja",N67="Catastrófico"),AND(J67="Media",N67="Catastrófico"),AND(J67="Alta",N67="Catastrófico"),AND(J67="Muy Alta",N67="Catastrófico")),"Extremo",""))))</f>
        <v>Alto</v>
      </c>
      <c r="Q67" s="140">
        <v>1</v>
      </c>
      <c r="R67" s="157" t="s">
        <v>375</v>
      </c>
      <c r="S67" s="141" t="str">
        <f t="shared" ref="S67:S72" si="42">IF(OR(T67="Preventivo",T67="Detectivo"),"Probabilidad",IF(T67="Correctivo","Impacto",""))</f>
        <v>Probabilidad</v>
      </c>
      <c r="T67" s="142" t="s">
        <v>14</v>
      </c>
      <c r="U67" s="142" t="s">
        <v>9</v>
      </c>
      <c r="V67" s="143" t="str">
        <f t="shared" si="36"/>
        <v>40%</v>
      </c>
      <c r="W67" s="142" t="s">
        <v>19</v>
      </c>
      <c r="X67" s="142" t="s">
        <v>22</v>
      </c>
      <c r="Y67" s="142" t="s">
        <v>119</v>
      </c>
      <c r="Z67" s="144">
        <f>IFERROR(IF(S67="Probabilidad",(K67-(+K67*V67)),IF(S67="Impacto",K67,"")),"")</f>
        <v>0.6</v>
      </c>
      <c r="AA67" s="162" t="str">
        <f t="shared" si="37"/>
        <v>Media</v>
      </c>
      <c r="AB67" s="143">
        <f t="shared" si="38"/>
        <v>0.6</v>
      </c>
      <c r="AC67" s="162" t="str">
        <f t="shared" si="39"/>
        <v>Leve</v>
      </c>
      <c r="AD67" s="143">
        <f t="shared" si="40"/>
        <v>0.2</v>
      </c>
      <c r="AE67" s="163" t="str">
        <f t="shared" si="41"/>
        <v>Moderado</v>
      </c>
      <c r="AF67" s="172" t="s">
        <v>135</v>
      </c>
      <c r="AG67" s="166" t="s">
        <v>376</v>
      </c>
      <c r="AH67" s="166" t="s">
        <v>473</v>
      </c>
      <c r="AI67" s="173">
        <v>45292</v>
      </c>
      <c r="AJ67" s="173" t="s">
        <v>483</v>
      </c>
      <c r="AK67" s="166" t="s">
        <v>484</v>
      </c>
      <c r="AL67" s="178" t="s">
        <v>41</v>
      </c>
      <c r="AM67" s="5"/>
      <c r="AN67" s="5"/>
      <c r="AO67" s="5"/>
      <c r="AP67" s="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row>
    <row r="68" spans="1:70" ht="162" customHeight="1" x14ac:dyDescent="0.3">
      <c r="A68" s="199">
        <v>28</v>
      </c>
      <c r="B68" s="317"/>
      <c r="C68" s="165">
        <v>2</v>
      </c>
      <c r="D68" s="166" t="s">
        <v>133</v>
      </c>
      <c r="E68" s="166" t="s">
        <v>377</v>
      </c>
      <c r="F68" s="166" t="s">
        <v>378</v>
      </c>
      <c r="G68" s="161" t="s">
        <v>379</v>
      </c>
      <c r="H68" s="166" t="s">
        <v>123</v>
      </c>
      <c r="I68" s="167" t="s">
        <v>374</v>
      </c>
      <c r="J68" s="164" t="str">
        <f>IF(I68&lt;=0,"",IF(I68&lt;=2,"Muy Baja",IF(I68&lt;=24,"Baja",IF(I68&lt;=500,"Media",IF(I68&lt;=5000,"Alta","Muy Alta")))))</f>
        <v>Muy Alta</v>
      </c>
      <c r="K68" s="182">
        <f>IF(J68="","",IF(J68="Muy Baja",0.2,IF(J68="Baja",0.4,IF(J68="Media",0.6,IF(J68="Alta",0.8,IF(J68="Muy Alta",1,))))))</f>
        <v>1</v>
      </c>
      <c r="L68" s="192" t="s">
        <v>145</v>
      </c>
      <c r="M68" s="191" t="str">
        <f>IF(NOT(ISERROR(MATCH(L68,'[7]Tabla Impacto'!$B$221:$B$223,0))),'[7]Tabla Impacto'!$F$223&amp;"Por favor no seleccionar los criterios de impacto(Afectación Económica o presupuestal y Pérdida Reputacional)",L68)</f>
        <v xml:space="preserve">     Entre 10 y 50 SMLMV </v>
      </c>
      <c r="N68" s="193" t="str">
        <f>IF(OR(M68='[7]Tabla Impacto'!$C$11,M68='[7]Tabla Impacto'!$D$11),"Leve",IF(OR(M68='[7]Tabla Impacto'!$C$12,M68='[7]Tabla Impacto'!$D$12),"Menor",IF(OR(M68='[7]Tabla Impacto'!$C$13,M68='[7]Tabla Impacto'!$D$13),"Moderado",IF(OR(M68='[7]Tabla Impacto'!$C$14,M68='[7]Tabla Impacto'!$D$14),"Mayor",IF(OR(M68='[7]Tabla Impacto'!$C$15,M68='[7]Tabla Impacto'!$D$15),"Catastrófico","")))))</f>
        <v>Menor</v>
      </c>
      <c r="O68" s="194">
        <f>IF(N68="","",IF(N68="Leve",0.2,IF(N68="Menor",0.4,IF(N68="Moderado",0.6,IF(N68="Mayor",0.8,IF(N68="Catastrófico",1,))))))</f>
        <v>0.4</v>
      </c>
      <c r="P68" s="195" t="str">
        <f>IF(OR(AND(J68="Muy Baja",N68="Leve"),AND(J68="Muy Baja",N68="Menor"),AND(J68="Baja",N68="Leve")),"Bajo",IF(OR(AND(J68="Muy baja",N68="Moderado"),AND(J68="Baja",N68="Menor"),AND(J68="Baja",N68="Moderado"),AND(J68="Media",N68="Leve"),AND(J68="Media",N68="Menor"),AND(J68="Media",N68="Moderado"),AND(J68="Alta",N68="Leve"),AND(J68="Alta",N68="Menor")),"Moderado",IF(OR(AND(J68="Muy Baja",N68="Mayor"),AND(J68="Baja",N68="Mayor"),AND(J68="Media",N68="Mayor"),AND(J68="Alta",N68="Moderado"),AND(J68="Alta",N68="Mayor"),AND(J68="Muy Alta",N68="Leve"),AND(J68="Muy Alta",N68="Menor"),AND(J68="Muy Alta",N68="Moderado"),AND(J68="Muy Alta",N68="Mayor")),"Alto",IF(OR(AND(J68="Muy Baja",N68="Catastrófico"),AND(J68="Baja",N68="Catastrófico"),AND(J68="Media",N68="Catastrófico"),AND(J68="Alta",N68="Catastrófico"),AND(J68="Muy Alta",N68="Catastrófico")),"Extremo",""))))</f>
        <v>Alto</v>
      </c>
      <c r="Q68" s="140">
        <v>1</v>
      </c>
      <c r="R68" s="157" t="s">
        <v>380</v>
      </c>
      <c r="S68" s="141" t="str">
        <f t="shared" si="42"/>
        <v>Probabilidad</v>
      </c>
      <c r="T68" s="142" t="s">
        <v>15</v>
      </c>
      <c r="U68" s="142" t="s">
        <v>9</v>
      </c>
      <c r="V68" s="143" t="str">
        <f t="shared" si="36"/>
        <v>30%</v>
      </c>
      <c r="W68" s="142" t="s">
        <v>19</v>
      </c>
      <c r="X68" s="142" t="s">
        <v>22</v>
      </c>
      <c r="Y68" s="142" t="s">
        <v>119</v>
      </c>
      <c r="Z68" s="144">
        <f>IFERROR(IF(S68="Probabilidad",(K68-(+K68*V68)),IF(S68="Impacto",K68,"")),"")</f>
        <v>0.7</v>
      </c>
      <c r="AA68" s="162" t="str">
        <f t="shared" si="37"/>
        <v>Alta</v>
      </c>
      <c r="AB68" s="143">
        <f t="shared" si="38"/>
        <v>0.7</v>
      </c>
      <c r="AC68" s="162" t="str">
        <f t="shared" si="39"/>
        <v>Menor</v>
      </c>
      <c r="AD68" s="143">
        <f t="shared" si="40"/>
        <v>0.4</v>
      </c>
      <c r="AE68" s="163" t="str">
        <f t="shared" si="41"/>
        <v>Moderado</v>
      </c>
      <c r="AF68" s="172" t="s">
        <v>136</v>
      </c>
      <c r="AG68" s="166" t="s">
        <v>478</v>
      </c>
      <c r="AH68" s="166" t="s">
        <v>381</v>
      </c>
      <c r="AI68" s="173">
        <v>45292</v>
      </c>
      <c r="AJ68" s="173" t="s">
        <v>566</v>
      </c>
      <c r="AK68" s="166" t="s">
        <v>479</v>
      </c>
      <c r="AL68" s="196" t="s">
        <v>474</v>
      </c>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row>
    <row r="69" spans="1:70" ht="151.5" customHeight="1" x14ac:dyDescent="0.3">
      <c r="A69" s="199">
        <v>29</v>
      </c>
      <c r="B69" s="317"/>
      <c r="C69" s="165">
        <v>3</v>
      </c>
      <c r="D69" s="166" t="s">
        <v>131</v>
      </c>
      <c r="E69" s="166" t="s">
        <v>382</v>
      </c>
      <c r="F69" s="166" t="s">
        <v>383</v>
      </c>
      <c r="G69" s="161" t="s">
        <v>384</v>
      </c>
      <c r="H69" s="166" t="s">
        <v>123</v>
      </c>
      <c r="I69" s="167" t="s">
        <v>385</v>
      </c>
      <c r="J69" s="164" t="str">
        <f>IF(I69&lt;=0,"",IF(I69&lt;=2,"Muy Baja",IF(I69&lt;=24,"Baja",IF(I69&lt;=500,"Media",IF(I69&lt;=5000,"Alta","Muy Alta")))))</f>
        <v>Muy Alta</v>
      </c>
      <c r="K69" s="182">
        <f>IF(J69="","",IF(J69="Muy Baja",0.2,IF(J69="Baja",0.4,IF(J69="Media",0.6,IF(J69="Alta",0.8,IF(J69="Muy Alta",1,))))))</f>
        <v>1</v>
      </c>
      <c r="L69" s="183" t="s">
        <v>151</v>
      </c>
      <c r="M69" s="147" t="str">
        <f>IF(NOT(ISERROR(MATCH(L69,'[6]Tabla Impacto'!$B$221:$B$223,0))),'[6]Tabla Impacto'!$F$223&amp;"Por favor no seleccionar los criterios de impacto(Afectación Económica o presupuestal y Pérdida Reputacional)",L69)</f>
        <v xml:space="preserve">     El riesgo afecta la imagen de de la entidad con efecto publicitario sostenido a nivel de sector administrativo, nivel departamental o municipal</v>
      </c>
      <c r="N69" s="164" t="str">
        <f>IF(OR(M69='[6]Tabla Impacto'!$C$11,M69='[6]Tabla Impacto'!$D$11),"Leve",IF(OR(M69='[6]Tabla Impacto'!$C$12,M69='[6]Tabla Impacto'!$D$12),"Menor",IF(OR(M69='[6]Tabla Impacto'!$C$13,M69='[6]Tabla Impacto'!$D$13),"Moderado",IF(OR(M69='[6]Tabla Impacto'!$C$14,M69='[6]Tabla Impacto'!$D$14),"Mayor",IF(OR(M69='[6]Tabla Impacto'!$C$15,M69='[6]Tabla Impacto'!$D$15),"Catastrófico","")))))</f>
        <v>Mayor</v>
      </c>
      <c r="O69" s="182">
        <f>IF(N69="","",IF(N69="Leve",0.2,IF(N69="Menor",0.4,IF(N69="Moderado",0.6,IF(N69="Mayor",0.8,IF(N69="Catastrófico",1,))))))</f>
        <v>0.8</v>
      </c>
      <c r="P69" s="141" t="str">
        <f>IF(OR(AND(J69="Muy Baja",N69="Leve"),AND(J69="Muy Baja",N69="Menor"),AND(J69="Baja",N69="Leve")),"Bajo",IF(OR(AND(J69="Muy baja",N69="Moderado"),AND(J69="Baja",N69="Menor"),AND(J69="Baja",N69="Moderado"),AND(J69="Media",N69="Leve"),AND(J69="Media",N69="Menor"),AND(J69="Media",N69="Moderado"),AND(J69="Alta",N69="Leve"),AND(J69="Alta",N69="Menor")),"Moderado",IF(OR(AND(J69="Muy Baja",N69="Mayor"),AND(J69="Baja",N69="Mayor"),AND(J69="Media",N69="Mayor"),AND(J69="Alta",N69="Moderado"),AND(J69="Alta",N69="Mayor"),AND(J69="Muy Alta",N69="Leve"),AND(J69="Muy Alta",N69="Menor"),AND(J69="Muy Alta",N69="Moderado"),AND(J69="Muy Alta",N69="Mayor")),"Alto",IF(OR(AND(J69="Muy Baja",N69="Catastrófico"),AND(J69="Baja",N69="Catastrófico"),AND(J69="Media",N69="Catastrófico"),AND(J69="Alta",N69="Catastrófico"),AND(J69="Muy Alta",N69="Catastrófico")),"Extremo",""))))</f>
        <v>Alto</v>
      </c>
      <c r="Q69" s="140">
        <v>1</v>
      </c>
      <c r="R69" s="157" t="s">
        <v>386</v>
      </c>
      <c r="S69" s="141" t="str">
        <f t="shared" si="42"/>
        <v>Probabilidad</v>
      </c>
      <c r="T69" s="142" t="s">
        <v>14</v>
      </c>
      <c r="U69" s="142" t="s">
        <v>9</v>
      </c>
      <c r="V69" s="143" t="str">
        <f t="shared" si="36"/>
        <v>40%</v>
      </c>
      <c r="W69" s="142" t="s">
        <v>19</v>
      </c>
      <c r="X69" s="142" t="s">
        <v>23</v>
      </c>
      <c r="Y69" s="142" t="s">
        <v>119</v>
      </c>
      <c r="Z69" s="144">
        <f>IFERROR(IF(S69="Probabilidad",(K69-(+K69*V69)),IF(S69="Impacto",K69,"")),"")</f>
        <v>0.6</v>
      </c>
      <c r="AA69" s="162" t="str">
        <f t="shared" si="37"/>
        <v>Media</v>
      </c>
      <c r="AB69" s="143">
        <f t="shared" si="38"/>
        <v>0.6</v>
      </c>
      <c r="AC69" s="162" t="str">
        <f t="shared" si="39"/>
        <v>Mayor</v>
      </c>
      <c r="AD69" s="143">
        <f t="shared" si="40"/>
        <v>0.8</v>
      </c>
      <c r="AE69" s="163" t="str">
        <f t="shared" si="41"/>
        <v>Alto</v>
      </c>
      <c r="AF69" s="172"/>
      <c r="AG69" s="166" t="s">
        <v>477</v>
      </c>
      <c r="AH69" s="166" t="s">
        <v>475</v>
      </c>
      <c r="AI69" s="173">
        <v>45292</v>
      </c>
      <c r="AJ69" s="173" t="s">
        <v>566</v>
      </c>
      <c r="AK69" s="166" t="s">
        <v>476</v>
      </c>
      <c r="AL69" s="196" t="s">
        <v>474</v>
      </c>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row>
    <row r="70" spans="1:70" ht="116.25" customHeight="1" x14ac:dyDescent="0.3">
      <c r="A70" s="319">
        <v>30</v>
      </c>
      <c r="B70" s="317"/>
      <c r="C70" s="319">
        <v>4</v>
      </c>
      <c r="D70" s="303" t="s">
        <v>133</v>
      </c>
      <c r="E70" s="303" t="s">
        <v>387</v>
      </c>
      <c r="F70" s="303" t="s">
        <v>388</v>
      </c>
      <c r="G70" s="320" t="s">
        <v>389</v>
      </c>
      <c r="H70" s="303" t="s">
        <v>123</v>
      </c>
      <c r="I70" s="362" t="s">
        <v>390</v>
      </c>
      <c r="J70" s="321" t="str">
        <f>IF(I70&lt;=0,"",IF(I70&lt;=2,"Muy Baja",IF(I70&lt;=24,"Baja",IF(I70&lt;=500,"Media",IF(I70&lt;=5000,"Alta","Muy Alta")))))</f>
        <v>Muy Alta</v>
      </c>
      <c r="K70" s="322">
        <f>IF(J70="","",IF(J70="Muy Baja",0.2,IF(J70="Baja",0.4,IF(J70="Media",0.6,IF(J70="Alta",0.8,IF(J70="Muy Alta",1,))))))</f>
        <v>1</v>
      </c>
      <c r="L70" s="347" t="s">
        <v>151</v>
      </c>
      <c r="M70" s="310" t="str">
        <f>IF(NOT(ISERROR(MATCH(L70,'[6]Tabla Impacto'!$B$221:$B$223,0))),'[6]Tabla Impacto'!$F$223&amp;"Por favor no seleccionar los criterios de impacto(Afectación Económica o presupuestal y Pérdida Reputacional)",L70)</f>
        <v xml:space="preserve">     El riesgo afecta la imagen de de la entidad con efecto publicitario sostenido a nivel de sector administrativo, nivel departamental o municipal</v>
      </c>
      <c r="N70" s="321" t="str">
        <f>IF(OR(M70='[6]Tabla Impacto'!$C$11,M70='[6]Tabla Impacto'!$D$11),"Leve",IF(OR(M70='[6]Tabla Impacto'!$C$12,M70='[6]Tabla Impacto'!$D$12),"Menor",IF(OR(M70='[6]Tabla Impacto'!$C$13,M70='[6]Tabla Impacto'!$D$13),"Moderado",IF(OR(M70='[6]Tabla Impacto'!$C$14,M70='[6]Tabla Impacto'!$D$14),"Mayor",IF(OR(M70='[6]Tabla Impacto'!$C$15,M70='[6]Tabla Impacto'!$D$15),"Catastrófico","")))))</f>
        <v>Mayor</v>
      </c>
      <c r="O70" s="322">
        <f>IF(N70="","",IF(N70="Leve",0.2,IF(N70="Menor",0.4,IF(N70="Moderado",0.6,IF(N70="Mayor",0.8,IF(N70="Catastrófico",1,))))))</f>
        <v>0.8</v>
      </c>
      <c r="P70" s="309" t="str">
        <f>IF(OR(AND(J70="Muy Baja",N70="Leve"),AND(J70="Muy Baja",N70="Menor"),AND(J70="Baja",N70="Leve")),"Bajo",IF(OR(AND(J70="Muy baja",N70="Moderado"),AND(J70="Baja",N70="Menor"),AND(J70="Baja",N70="Moderado"),AND(J70="Media",N70="Leve"),AND(J70="Media",N70="Menor"),AND(J70="Media",N70="Moderado"),AND(J70="Alta",N70="Leve"),AND(J70="Alta",N70="Menor")),"Moderado",IF(OR(AND(J70="Muy Baja",N70="Mayor"),AND(J70="Baja",N70="Mayor"),AND(J70="Media",N70="Mayor"),AND(J70="Alta",N70="Moderado"),AND(J70="Alta",N70="Mayor"),AND(J70="Muy Alta",N70="Leve"),AND(J70="Muy Alta",N70="Menor"),AND(J70="Muy Alta",N70="Moderado"),AND(J70="Muy Alta",N70="Mayor")),"Alto",IF(OR(AND(J70="Muy Baja",N70="Catastrófico"),AND(J70="Baja",N70="Catastrófico"),AND(J70="Media",N70="Catastrófico"),AND(J70="Alta",N70="Catastrófico"),AND(J70="Muy Alta",N70="Catastrófico")),"Extremo",""))))</f>
        <v>Alto</v>
      </c>
      <c r="Q70" s="140">
        <v>1</v>
      </c>
      <c r="R70" s="157" t="s">
        <v>391</v>
      </c>
      <c r="S70" s="141" t="str">
        <f t="shared" si="42"/>
        <v>Probabilidad</v>
      </c>
      <c r="T70" s="142" t="s">
        <v>14</v>
      </c>
      <c r="U70" s="142" t="s">
        <v>10</v>
      </c>
      <c r="V70" s="143" t="str">
        <f t="shared" si="36"/>
        <v>50%</v>
      </c>
      <c r="W70" s="142"/>
      <c r="X70" s="142"/>
      <c r="Y70" s="142"/>
      <c r="Z70" s="144">
        <f>IFERROR(IF(S70="Probabilidad",(K70-(+K70*V70)),IF(S70="Impacto",K70,"")),"")</f>
        <v>0.5</v>
      </c>
      <c r="AA70" s="162" t="str">
        <f t="shared" si="37"/>
        <v>Media</v>
      </c>
      <c r="AB70" s="143">
        <f t="shared" si="38"/>
        <v>0.5</v>
      </c>
      <c r="AC70" s="162" t="str">
        <f t="shared" si="39"/>
        <v>Mayor</v>
      </c>
      <c r="AD70" s="143">
        <f t="shared" si="40"/>
        <v>0.8</v>
      </c>
      <c r="AE70" s="163" t="str">
        <f t="shared" si="41"/>
        <v>Alto</v>
      </c>
      <c r="AF70" s="172" t="s">
        <v>32</v>
      </c>
      <c r="AG70" s="166" t="s">
        <v>482</v>
      </c>
      <c r="AH70" s="197" t="s">
        <v>480</v>
      </c>
      <c r="AI70" s="173">
        <v>45292</v>
      </c>
      <c r="AJ70" s="173" t="s">
        <v>566</v>
      </c>
      <c r="AK70" s="166" t="s">
        <v>481</v>
      </c>
      <c r="AL70" s="196" t="s">
        <v>474</v>
      </c>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row>
    <row r="71" spans="1:70" ht="48.75" hidden="1" customHeight="1" x14ac:dyDescent="0.3">
      <c r="A71" s="319"/>
      <c r="B71" s="179"/>
      <c r="C71" s="319"/>
      <c r="D71" s="303"/>
      <c r="E71" s="303"/>
      <c r="F71" s="303"/>
      <c r="G71" s="320"/>
      <c r="H71" s="303"/>
      <c r="I71" s="362"/>
      <c r="J71" s="321"/>
      <c r="K71" s="322"/>
      <c r="L71" s="347"/>
      <c r="M71" s="310">
        <f>IF(NOT(ISERROR(MATCH(L71,_xlfn.ANCHORARRAY(#REF!),0))),#REF!&amp;"Por favor no seleccionar los criterios de impacto",L71)</f>
        <v>0</v>
      </c>
      <c r="N71" s="321"/>
      <c r="O71" s="322"/>
      <c r="P71" s="309"/>
      <c r="Q71" s="140">
        <v>2</v>
      </c>
      <c r="R71" s="157"/>
      <c r="S71" s="141" t="str">
        <f t="shared" si="42"/>
        <v/>
      </c>
      <c r="T71" s="142"/>
      <c r="U71" s="142"/>
      <c r="V71" s="143" t="str">
        <f t="shared" ref="V71:V75" si="43">IF(AND(T71="Preventivo",U71="Automático"),"50%",IF(AND(T71="Preventivo",U71="Manual"),"40%",IF(AND(T71="Detectivo",U71="Automático"),"40%",IF(AND(T71="Detectivo",U71="Manual"),"30%",IF(AND(T71="Correctivo",U71="Automático"),"35%",IF(AND(T71="Correctivo",U71="Manual"),"25%",""))))))</f>
        <v/>
      </c>
      <c r="W71" s="142"/>
      <c r="X71" s="142"/>
      <c r="Y71" s="142"/>
      <c r="Z71" s="144" t="str">
        <f>IFERROR(IF(AND(S70="Probabilidad",S71="Probabilidad"),(AB70-(+AB70*V71)),IF(S71="Probabilidad",(K70-(+K70*V71)),IF(S71="Impacto",AB70,""))),"")</f>
        <v/>
      </c>
      <c r="AA71" s="162" t="str">
        <f t="shared" ref="AA71:AA75" si="44">IFERROR(IF(Z71="","",IF(Z71&lt;=0.2,"Muy Baja",IF(Z71&lt;=0.4,"Baja",IF(Z71&lt;=0.6,"Media",IF(Z71&lt;=0.8,"Alta","Muy Alta"))))),"")</f>
        <v/>
      </c>
      <c r="AB71" s="143" t="str">
        <f t="shared" ref="AB71:AB75" si="45">+Z71</f>
        <v/>
      </c>
      <c r="AC71" s="162" t="str">
        <f t="shared" ref="AC71:AC75" si="46">IFERROR(IF(AD71="","",IF(AD71&lt;=0.2,"Leve",IF(AD71&lt;=0.4,"Menor",IF(AD71&lt;=0.6,"Moderado",IF(AD71&lt;=0.8,"Mayor","Catastrófico"))))),"")</f>
        <v/>
      </c>
      <c r="AD71" s="143" t="str">
        <f>IFERROR(IF(AND(S70="Impacto",S71="Impacto"),(#REF!-(+#REF!*V71)),IF(S71="Impacto",($O$46-(+$O$46*V71)),IF(S71="Probabilidad",#REF!,""))),"")</f>
        <v/>
      </c>
      <c r="AE71" s="163" t="str">
        <f t="shared" ref="AE71:AE72" si="47">IFERROR(IF(OR(AND(AA71="Muy Baja",AC71="Leve"),AND(AA71="Muy Baja",AC71="Menor"),AND(AA71="Baja",AC71="Leve")),"Bajo",IF(OR(AND(AA71="Muy baja",AC71="Moderado"),AND(AA71="Baja",AC71="Menor"),AND(AA71="Baja",AC71="Moderado"),AND(AA71="Media",AC71="Leve"),AND(AA71="Media",AC71="Menor"),AND(AA71="Media",AC71="Moderado"),AND(AA71="Alta",AC71="Leve"),AND(AA71="Alta",AC71="Menor")),"Moderado",IF(OR(AND(AA71="Muy Baja",AC71="Mayor"),AND(AA71="Baja",AC71="Mayor"),AND(AA71="Media",AC71="Mayor"),AND(AA71="Alta",AC71="Moderado"),AND(AA71="Alta",AC71="Mayor"),AND(AA71="Muy Alta",AC71="Leve"),AND(AA71="Muy Alta",AC71="Menor"),AND(AA71="Muy Alta",AC71="Moderado"),AND(AA71="Muy Alta",AC71="Mayor")),"Alto",IF(OR(AND(AA71="Muy Baja",AC71="Catastrófico"),AND(AA71="Baja",AC71="Catastrófico"),AND(AA71="Media",AC71="Catastrófico"),AND(AA71="Alta",AC71="Catastrófico"),AND(AA71="Muy Alta",AC71="Catastrófico")),"Extremo","")))),"")</f>
        <v/>
      </c>
      <c r="AF71" s="172"/>
      <c r="AG71" s="166"/>
      <c r="AH71" s="166"/>
      <c r="AI71" s="173"/>
      <c r="AJ71" s="173"/>
      <c r="AK71" s="166"/>
      <c r="AL71" s="166"/>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row>
    <row r="72" spans="1:70" ht="28.5" hidden="1" customHeight="1" x14ac:dyDescent="0.3">
      <c r="A72" s="319"/>
      <c r="B72" s="179"/>
      <c r="C72" s="319"/>
      <c r="D72" s="303"/>
      <c r="E72" s="303"/>
      <c r="F72" s="303"/>
      <c r="G72" s="320"/>
      <c r="H72" s="303"/>
      <c r="I72" s="362"/>
      <c r="J72" s="321"/>
      <c r="K72" s="322"/>
      <c r="L72" s="347"/>
      <c r="M72" s="310">
        <f>IF(NOT(ISERROR(MATCH(L72,_xlfn.ANCHORARRAY(#REF!),0))),#REF!&amp;"Por favor no seleccionar los criterios de impacto",L72)</f>
        <v>0</v>
      </c>
      <c r="N72" s="321"/>
      <c r="O72" s="322"/>
      <c r="P72" s="309"/>
      <c r="Q72" s="140">
        <v>3</v>
      </c>
      <c r="R72" s="152"/>
      <c r="S72" s="141" t="str">
        <f t="shared" si="42"/>
        <v/>
      </c>
      <c r="T72" s="142"/>
      <c r="U72" s="142"/>
      <c r="V72" s="143" t="str">
        <f t="shared" si="43"/>
        <v/>
      </c>
      <c r="W72" s="142"/>
      <c r="X72" s="142"/>
      <c r="Y72" s="142"/>
      <c r="Z72" s="144" t="str">
        <f>IFERROR(IF(AND(S71="Probabilidad",S72="Probabilidad"),(AB71-(+AB71*V72)),IF(AND(S71="Impacto",S72="Probabilidad"),(AB70-(+AB70*V72)),IF(S72="Impacto",AB71,""))),"")</f>
        <v/>
      </c>
      <c r="AA72" s="162" t="str">
        <f t="shared" si="44"/>
        <v/>
      </c>
      <c r="AB72" s="143" t="str">
        <f t="shared" si="45"/>
        <v/>
      </c>
      <c r="AC72" s="162" t="str">
        <f t="shared" si="46"/>
        <v/>
      </c>
      <c r="AD72" s="143" t="str">
        <f>IFERROR(IF(AND(S71="Impacto",S72="Impacto"),(AD71-(+AD71*V72)),IF(AND(S71="Probabilidad",S72="Impacto"),(AD70-(+AD70*V72)),IF(S72="Probabilidad",AD71,""))),"")</f>
        <v/>
      </c>
      <c r="AE72" s="163" t="str">
        <f t="shared" si="47"/>
        <v/>
      </c>
      <c r="AF72" s="172"/>
      <c r="AG72" s="166"/>
      <c r="AH72" s="166"/>
      <c r="AI72" s="173"/>
      <c r="AJ72" s="173"/>
      <c r="AK72" s="166"/>
      <c r="AL72" s="166"/>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row>
    <row r="73" spans="1:70" ht="33.75" hidden="1" customHeight="1" x14ac:dyDescent="0.3">
      <c r="A73" s="319"/>
      <c r="B73" s="179"/>
      <c r="C73" s="319"/>
      <c r="D73" s="303"/>
      <c r="E73" s="303"/>
      <c r="F73" s="303"/>
      <c r="G73" s="320"/>
      <c r="H73" s="303"/>
      <c r="I73" s="362"/>
      <c r="J73" s="321"/>
      <c r="K73" s="322"/>
      <c r="L73" s="347"/>
      <c r="M73" s="310">
        <f>IF(NOT(ISERROR(MATCH(L73,_xlfn.ANCHORARRAY(#REF!),0))),#REF!&amp;"Por favor no seleccionar los criterios de impacto",L73)</f>
        <v>0</v>
      </c>
      <c r="N73" s="321"/>
      <c r="O73" s="322"/>
      <c r="P73" s="309"/>
      <c r="Q73" s="140">
        <v>4</v>
      </c>
      <c r="R73" s="157"/>
      <c r="S73" s="141" t="str">
        <f t="shared" ref="S73:S75" si="48">IF(OR(T73="Preventivo",T73="Detectivo"),"Probabilidad",IF(T73="Correctivo","Impacto",""))</f>
        <v/>
      </c>
      <c r="T73" s="142"/>
      <c r="U73" s="142"/>
      <c r="V73" s="143" t="str">
        <f t="shared" si="43"/>
        <v/>
      </c>
      <c r="W73" s="142"/>
      <c r="X73" s="142"/>
      <c r="Y73" s="142"/>
      <c r="Z73" s="144" t="str">
        <f t="shared" ref="Z73:Z75" si="49">IFERROR(IF(AND(S72="Probabilidad",S73="Probabilidad"),(AB72-(+AB72*V73)),IF(AND(S72="Impacto",S73="Probabilidad"),(AB71-(+AB71*V73)),IF(S73="Impacto",AB72,""))),"")</f>
        <v/>
      </c>
      <c r="AA73" s="162" t="str">
        <f t="shared" si="44"/>
        <v/>
      </c>
      <c r="AB73" s="143" t="str">
        <f t="shared" si="45"/>
        <v/>
      </c>
      <c r="AC73" s="162" t="str">
        <f t="shared" si="46"/>
        <v/>
      </c>
      <c r="AD73" s="143" t="str">
        <f t="shared" ref="AD73:AD75" si="50">IFERROR(IF(AND(S72="Impacto",S73="Impacto"),(AD72-(+AD72*V73)),IF(AND(S72="Probabilidad",S73="Impacto"),(AD71-(+AD71*V73)),IF(S73="Probabilidad",AD72,""))),"")</f>
        <v/>
      </c>
      <c r="AE73" s="163" t="str">
        <f>IFERROR(IF(OR(AND(AA73="Muy Baja",AC73="Leve"),AND(AA73="Muy Baja",AC73="Menor"),AND(AA73="Baja",AC73="Leve")),"Bajo",IF(OR(AND(AA73="Muy baja",AC73="Moderado"),AND(AA73="Baja",AC73="Menor"),AND(AA73="Baja",AC73="Moderado"),AND(AA73="Media",AC73="Leve"),AND(AA73="Media",AC73="Menor"),AND(AA73="Media",AC73="Moderado"),AND(AA73="Alta",AC73="Leve"),AND(AA73="Alta",AC73="Menor")),"Moderado",IF(OR(AND(AA73="Muy Baja",AC73="Mayor"),AND(AA73="Baja",AC73="Mayor"),AND(AA73="Media",AC73="Mayor"),AND(AA73="Alta",AC73="Moderado"),AND(AA73="Alta",AC73="Mayor"),AND(AA73="Muy Alta",AC73="Leve"),AND(AA73="Muy Alta",AC73="Menor"),AND(AA73="Muy Alta",AC73="Moderado"),AND(AA73="Muy Alta",AC73="Mayor")),"Alto",IF(OR(AND(AA73="Muy Baja",AC73="Catastrófico"),AND(AA73="Baja",AC73="Catastrófico"),AND(AA73="Media",AC73="Catastrófico"),AND(AA73="Alta",AC73="Catastrófico"),AND(AA73="Muy Alta",AC73="Catastrófico")),"Extremo","")))),"")</f>
        <v/>
      </c>
      <c r="AF73" s="172"/>
      <c r="AG73" s="166"/>
      <c r="AH73" s="166"/>
      <c r="AI73" s="173"/>
      <c r="AJ73" s="173"/>
      <c r="AK73" s="166"/>
      <c r="AL73" s="166"/>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row>
    <row r="74" spans="1:70" ht="46.5" hidden="1" customHeight="1" x14ac:dyDescent="0.3">
      <c r="A74" s="319"/>
      <c r="B74" s="179"/>
      <c r="C74" s="319"/>
      <c r="D74" s="303"/>
      <c r="E74" s="303"/>
      <c r="F74" s="303"/>
      <c r="G74" s="320"/>
      <c r="H74" s="303"/>
      <c r="I74" s="362"/>
      <c r="J74" s="321"/>
      <c r="K74" s="322"/>
      <c r="L74" s="347"/>
      <c r="M74" s="310">
        <f>IF(NOT(ISERROR(MATCH(L74,_xlfn.ANCHORARRAY(#REF!),0))),#REF!&amp;"Por favor no seleccionar los criterios de impacto",L74)</f>
        <v>0</v>
      </c>
      <c r="N74" s="321"/>
      <c r="O74" s="322"/>
      <c r="P74" s="309"/>
      <c r="Q74" s="140">
        <v>5</v>
      </c>
      <c r="R74" s="157"/>
      <c r="S74" s="141" t="str">
        <f t="shared" si="48"/>
        <v/>
      </c>
      <c r="T74" s="142"/>
      <c r="U74" s="142"/>
      <c r="V74" s="143" t="str">
        <f t="shared" si="43"/>
        <v/>
      </c>
      <c r="W74" s="142"/>
      <c r="X74" s="142"/>
      <c r="Y74" s="142"/>
      <c r="Z74" s="144" t="str">
        <f t="shared" si="49"/>
        <v/>
      </c>
      <c r="AA74" s="162" t="str">
        <f t="shared" si="44"/>
        <v/>
      </c>
      <c r="AB74" s="143" t="str">
        <f t="shared" si="45"/>
        <v/>
      </c>
      <c r="AC74" s="162" t="str">
        <f t="shared" si="46"/>
        <v/>
      </c>
      <c r="AD74" s="143" t="str">
        <f t="shared" si="50"/>
        <v/>
      </c>
      <c r="AE74" s="163" t="str">
        <f t="shared" ref="AE74:AE75" si="51">IFERROR(IF(OR(AND(AA74="Muy Baja",AC74="Leve"),AND(AA74="Muy Baja",AC74="Menor"),AND(AA74="Baja",AC74="Leve")),"Bajo",IF(OR(AND(AA74="Muy baja",AC74="Moderado"),AND(AA74="Baja",AC74="Menor"),AND(AA74="Baja",AC74="Moderado"),AND(AA74="Media",AC74="Leve"),AND(AA74="Media",AC74="Menor"),AND(AA74="Media",AC74="Moderado"),AND(AA74="Alta",AC74="Leve"),AND(AA74="Alta",AC74="Menor")),"Moderado",IF(OR(AND(AA74="Muy Baja",AC74="Mayor"),AND(AA74="Baja",AC74="Mayor"),AND(AA74="Media",AC74="Mayor"),AND(AA74="Alta",AC74="Moderado"),AND(AA74="Alta",AC74="Mayor"),AND(AA74="Muy Alta",AC74="Leve"),AND(AA74="Muy Alta",AC74="Menor"),AND(AA74="Muy Alta",AC74="Moderado"),AND(AA74="Muy Alta",AC74="Mayor")),"Alto",IF(OR(AND(AA74="Muy Baja",AC74="Catastrófico"),AND(AA74="Baja",AC74="Catastrófico"),AND(AA74="Media",AC74="Catastrófico"),AND(AA74="Alta",AC74="Catastrófico"),AND(AA74="Muy Alta",AC74="Catastrófico")),"Extremo","")))),"")</f>
        <v/>
      </c>
      <c r="AF74" s="172"/>
      <c r="AG74" s="166"/>
      <c r="AH74" s="166"/>
      <c r="AI74" s="173"/>
      <c r="AJ74" s="173"/>
      <c r="AK74" s="166"/>
      <c r="AL74" s="166"/>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row>
    <row r="75" spans="1:70" ht="36.75" hidden="1" customHeight="1" x14ac:dyDescent="0.3">
      <c r="A75" s="319"/>
      <c r="B75" s="179"/>
      <c r="C75" s="319"/>
      <c r="D75" s="303"/>
      <c r="E75" s="303"/>
      <c r="F75" s="303"/>
      <c r="G75" s="320"/>
      <c r="H75" s="303"/>
      <c r="I75" s="362"/>
      <c r="J75" s="321"/>
      <c r="K75" s="322"/>
      <c r="L75" s="347"/>
      <c r="M75" s="310">
        <f>IF(NOT(ISERROR(MATCH(L75,_xlfn.ANCHORARRAY(#REF!),0))),#REF!&amp;"Por favor no seleccionar los criterios de impacto",L75)</f>
        <v>0</v>
      </c>
      <c r="N75" s="321"/>
      <c r="O75" s="322"/>
      <c r="P75" s="309"/>
      <c r="Q75" s="140">
        <v>6</v>
      </c>
      <c r="R75" s="157"/>
      <c r="S75" s="141" t="str">
        <f t="shared" si="48"/>
        <v/>
      </c>
      <c r="T75" s="142"/>
      <c r="U75" s="142"/>
      <c r="V75" s="143" t="str">
        <f t="shared" si="43"/>
        <v/>
      </c>
      <c r="W75" s="142"/>
      <c r="X75" s="142"/>
      <c r="Y75" s="142"/>
      <c r="Z75" s="144" t="str">
        <f t="shared" si="49"/>
        <v/>
      </c>
      <c r="AA75" s="162" t="str">
        <f t="shared" si="44"/>
        <v/>
      </c>
      <c r="AB75" s="143" t="str">
        <f t="shared" si="45"/>
        <v/>
      </c>
      <c r="AC75" s="162" t="str">
        <f t="shared" si="46"/>
        <v/>
      </c>
      <c r="AD75" s="143" t="str">
        <f t="shared" si="50"/>
        <v/>
      </c>
      <c r="AE75" s="163" t="str">
        <f t="shared" si="51"/>
        <v/>
      </c>
      <c r="AF75" s="172"/>
      <c r="AG75" s="166"/>
      <c r="AH75" s="166"/>
      <c r="AI75" s="173"/>
      <c r="AJ75" s="173"/>
      <c r="AK75" s="166"/>
      <c r="AL75" s="166"/>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row>
    <row r="76" spans="1:70" s="136" customFormat="1" ht="85.5" customHeight="1" x14ac:dyDescent="0.25">
      <c r="A76" s="319">
        <v>31</v>
      </c>
      <c r="B76" s="318" t="s">
        <v>429</v>
      </c>
      <c r="C76" s="319">
        <v>1</v>
      </c>
      <c r="D76" s="303" t="s">
        <v>133</v>
      </c>
      <c r="E76" s="303" t="s">
        <v>392</v>
      </c>
      <c r="F76" s="303" t="s">
        <v>393</v>
      </c>
      <c r="G76" s="320" t="s">
        <v>394</v>
      </c>
      <c r="H76" s="303" t="s">
        <v>123</v>
      </c>
      <c r="I76" s="362">
        <v>120</v>
      </c>
      <c r="J76" s="321" t="str">
        <f>IF(I76&lt;=0,"",IF(I76&lt;=2,"Muy Baja",IF(I76&lt;=24,"Baja",IF(I76&lt;=500,"Media",IF(I76&lt;=5000,"Alta","Muy Alta")))))</f>
        <v>Media</v>
      </c>
      <c r="K76" s="322">
        <f>IF(J76="","",IF(J76="Muy Baja",0.2,IF(J76="Baja",0.4,IF(J76="Media",0.6,IF(J76="Alta",0.8,IF(J76="Muy Alta",1,))))))</f>
        <v>0.6</v>
      </c>
      <c r="L76" s="347" t="s">
        <v>147</v>
      </c>
      <c r="M76" s="310" t="str">
        <f>IF(NOT(ISERROR(MATCH(L76,'[8]Tabla Impacto'!$B$221:$B$223,0))),'[8]Tabla Impacto'!$F$223&amp;"Por favor no seleccionar los criterios de impacto(Afectación Económica o presupuestal y Pérdida Reputacional)",L76)</f>
        <v xml:space="preserve">     Mayor a 500 SMLMV </v>
      </c>
      <c r="N76" s="321" t="str">
        <f>IF(OR(M76='[8]Tabla Impacto'!$C$11,M76='[8]Tabla Impacto'!$D$11),"Leve",IF(OR(M76='[8]Tabla Impacto'!$C$12,M76='[8]Tabla Impacto'!$D$12),"Menor",IF(OR(M76='[8]Tabla Impacto'!$C$13,M76='[8]Tabla Impacto'!$D$13),"Moderado",IF(OR(M76='[8]Tabla Impacto'!$C$14,M76='[8]Tabla Impacto'!$D$14),"Mayor",IF(OR(M76='[8]Tabla Impacto'!$C$15,M76='[8]Tabla Impacto'!$D$15),"Catastrófico","")))))</f>
        <v>Catastrófico</v>
      </c>
      <c r="O76" s="322">
        <f>IF(N76="","",IF(N76="Leve",0.2,IF(N76="Menor",0.4,IF(N76="Moderado",0.6,IF(N76="Mayor",0.8,IF(N76="Catastrófico",1,))))))</f>
        <v>1</v>
      </c>
      <c r="P76" s="309" t="str">
        <f>IF(OR(AND(J76="Muy Baja",N76="Leve"),AND(J76="Muy Baja",N76="Menor"),AND(J76="Baja",N76="Leve")),"Bajo",IF(OR(AND(J76="Muy baja",N76="Moderado"),AND(J76="Baja",N76="Menor"),AND(J76="Baja",N76="Moderado"),AND(J76="Media",N76="Leve"),AND(J76="Media",N76="Menor"),AND(J76="Media",N76="Moderado"),AND(J76="Alta",N76="Leve"),AND(J76="Alta",N76="Menor")),"Moderado",IF(OR(AND(J76="Muy Baja",N76="Mayor"),AND(J76="Baja",N76="Mayor"),AND(J76="Media",N76="Mayor"),AND(J76="Alta",N76="Moderado"),AND(J76="Alta",N76="Mayor"),AND(J76="Muy Alta",N76="Leve"),AND(J76="Muy Alta",N76="Menor"),AND(J76="Muy Alta",N76="Moderado"),AND(J76="Muy Alta",N76="Mayor")),"Alto",IF(OR(AND(J76="Muy Baja",N76="Catastrófico"),AND(J76="Baja",N76="Catastrófico"),AND(J76="Media",N76="Catastrófico"),AND(J76="Alta",N76="Catastrófico"),AND(J76="Muy Alta",N76="Catastrófico")),"Extremo",""))))</f>
        <v>Extremo</v>
      </c>
      <c r="Q76" s="140">
        <v>1</v>
      </c>
      <c r="R76" s="157" t="s">
        <v>395</v>
      </c>
      <c r="S76" s="141" t="str">
        <f t="shared" ref="S76:S81" si="52">IF(OR(T76="Preventivo",T76="Detectivo"),"Probabilidad",IF(T76="Correctivo","Impacto",""))</f>
        <v>Probabilidad</v>
      </c>
      <c r="T76" s="142" t="s">
        <v>15</v>
      </c>
      <c r="U76" s="142" t="s">
        <v>10</v>
      </c>
      <c r="V76" s="143" t="str">
        <f>IF(AND(T76="Preventivo",U76="Automático"),"50%",IF(AND(T76="Preventivo",U76="Manual"),"40%",IF(AND(T76="Detectivo",U76="Automático"),"40%",IF(AND(T76="Detectivo",U76="Manual"),"30%",IF(AND(T76="Correctivo",U76="Automático"),"35%",IF(AND(T76="Correctivo",U76="Manual"),"25%",""))))))</f>
        <v>40%</v>
      </c>
      <c r="W76" s="142" t="s">
        <v>19</v>
      </c>
      <c r="X76" s="142" t="s">
        <v>22</v>
      </c>
      <c r="Y76" s="142" t="s">
        <v>119</v>
      </c>
      <c r="Z76" s="144">
        <f>IFERROR(IF(S76="Probabilidad",(K76-(+K76*V76)),IF(S76="Impacto",K76,"")),"")</f>
        <v>0.36</v>
      </c>
      <c r="AA76" s="162" t="str">
        <f>IFERROR(IF(Z76="","",IF(Z76&lt;=0.2,"Muy Baja",IF(Z76&lt;=0.4,"Baja",IF(Z76&lt;=0.6,"Media",IF(Z76&lt;=0.8,"Alta","Muy Alta"))))),"")</f>
        <v>Baja</v>
      </c>
      <c r="AB76" s="143">
        <f>+Z76</f>
        <v>0.36</v>
      </c>
      <c r="AC76" s="162" t="str">
        <f>IFERROR(IF(AD76="","",IF(AD76&lt;=0.2,"Leve",IF(AD76&lt;=0.4,"Menor",IF(AD76&lt;=0.6,"Moderado",IF(AD76&lt;=0.8,"Mayor","Catastrófico"))))),"")</f>
        <v>Catastrófico</v>
      </c>
      <c r="AD76" s="143">
        <f>IFERROR(IF(S76="Impacto",(O76-(+O76*V76)),IF(S76="Probabilidad",O76,"")),"")</f>
        <v>1</v>
      </c>
      <c r="AE76" s="163" t="str">
        <f>IFERROR(IF(OR(AND(AA76="Muy Baja",AC76="Leve"),AND(AA76="Muy Baja",AC76="Menor"),AND(AA76="Baja",AC76="Leve")),"Bajo",IF(OR(AND(AA76="Muy baja",AC76="Moderado"),AND(AA76="Baja",AC76="Menor"),AND(AA76="Baja",AC76="Moderado"),AND(AA76="Media",AC76="Leve"),AND(AA76="Media",AC76="Menor"),AND(AA76="Media",AC76="Moderado"),AND(AA76="Alta",AC76="Leve"),AND(AA76="Alta",AC76="Menor")),"Moderado",IF(OR(AND(AA76="Muy Baja",AC76="Mayor"),AND(AA76="Baja",AC76="Mayor"),AND(AA76="Media",AC76="Mayor"),AND(AA76="Alta",AC76="Moderado"),AND(AA76="Alta",AC76="Mayor"),AND(AA76="Muy Alta",AC76="Leve"),AND(AA76="Muy Alta",AC76="Menor"),AND(AA76="Muy Alta",AC76="Moderado"),AND(AA76="Muy Alta",AC76="Mayor")),"Alto",IF(OR(AND(AA76="Muy Baja",AC76="Catastrófico"),AND(AA76="Baja",AC76="Catastrófico"),AND(AA76="Media",AC76="Catastrófico"),AND(AA76="Alta",AC76="Catastrófico"),AND(AA76="Muy Alta",AC76="Catastrófico")),"Extremo","")))),"")</f>
        <v>Extremo</v>
      </c>
      <c r="AF76" s="172"/>
      <c r="AG76" s="166" t="s">
        <v>396</v>
      </c>
      <c r="AH76" s="166" t="s">
        <v>397</v>
      </c>
      <c r="AI76" s="262">
        <v>44404</v>
      </c>
      <c r="AJ76" s="173" t="s">
        <v>566</v>
      </c>
      <c r="AK76" s="166" t="s">
        <v>568</v>
      </c>
      <c r="AL76" s="166" t="s">
        <v>41</v>
      </c>
      <c r="AM76" s="135"/>
      <c r="AN76" s="135"/>
      <c r="AO76" s="135"/>
      <c r="AP76" s="135"/>
      <c r="AQ76" s="135"/>
      <c r="AR76" s="135"/>
      <c r="AS76" s="135"/>
      <c r="AT76" s="135"/>
      <c r="AU76" s="135"/>
      <c r="AV76" s="135"/>
      <c r="AW76" s="135"/>
      <c r="AX76" s="135"/>
      <c r="AY76" s="135"/>
      <c r="AZ76" s="135"/>
      <c r="BA76" s="135"/>
      <c r="BB76" s="135"/>
      <c r="BC76" s="135"/>
      <c r="BD76" s="135"/>
      <c r="BE76" s="135"/>
      <c r="BF76" s="135"/>
      <c r="BG76" s="135"/>
      <c r="BH76" s="135"/>
      <c r="BI76" s="135"/>
      <c r="BJ76" s="135"/>
      <c r="BK76" s="135"/>
      <c r="BL76" s="135"/>
      <c r="BM76" s="135"/>
      <c r="BN76" s="135"/>
      <c r="BO76" s="135"/>
      <c r="BP76" s="135"/>
      <c r="BQ76" s="135"/>
      <c r="BR76" s="135"/>
    </row>
    <row r="77" spans="1:70" ht="85.5" customHeight="1" x14ac:dyDescent="0.3">
      <c r="A77" s="319"/>
      <c r="B77" s="318"/>
      <c r="C77" s="319"/>
      <c r="D77" s="303"/>
      <c r="E77" s="303"/>
      <c r="F77" s="303"/>
      <c r="G77" s="320"/>
      <c r="H77" s="303"/>
      <c r="I77" s="362"/>
      <c r="J77" s="321"/>
      <c r="K77" s="322"/>
      <c r="L77" s="347"/>
      <c r="M77" s="310">
        <f>IF(NOT(ISERROR(MATCH(L77,_xlfn.ANCHORARRAY(G84),0))),K86&amp;"Por favor no seleccionar los criterios de impacto",L77)</f>
        <v>0</v>
      </c>
      <c r="N77" s="321"/>
      <c r="O77" s="322"/>
      <c r="P77" s="309"/>
      <c r="Q77" s="140">
        <v>2</v>
      </c>
      <c r="R77" s="157" t="s">
        <v>398</v>
      </c>
      <c r="S77" s="141" t="str">
        <f t="shared" si="52"/>
        <v>Probabilidad</v>
      </c>
      <c r="T77" s="142" t="s">
        <v>15</v>
      </c>
      <c r="U77" s="142" t="s">
        <v>9</v>
      </c>
      <c r="V77" s="143" t="str">
        <f t="shared" ref="V77:V78" si="53">IF(AND(T77="Preventivo",U77="Automático"),"50%",IF(AND(T77="Preventivo",U77="Manual"),"40%",IF(AND(T77="Detectivo",U77="Automático"),"40%",IF(AND(T77="Detectivo",U77="Manual"),"30%",IF(AND(T77="Correctivo",U77="Automático"),"35%",IF(AND(T77="Correctivo",U77="Manual"),"25%",""))))))</f>
        <v>30%</v>
      </c>
      <c r="W77" s="142" t="s">
        <v>19</v>
      </c>
      <c r="X77" s="142" t="s">
        <v>22</v>
      </c>
      <c r="Y77" s="142" t="s">
        <v>119</v>
      </c>
      <c r="Z77" s="144">
        <f>IFERROR(IF(AND(S76="Probabilidad",S77="Probabilidad"),(AB76-(+AB76*V77)),IF(S77="Probabilidad",(K76-(+K76*V77)),IF(S77="Impacto",AB76,""))),"")</f>
        <v>0.252</v>
      </c>
      <c r="AA77" s="162" t="str">
        <f t="shared" ref="AA77:AA98" si="54">IFERROR(IF(Z77="","",IF(Z77&lt;=0.2,"Muy Baja",IF(Z77&lt;=0.4,"Baja",IF(Z77&lt;=0.6,"Media",IF(Z77&lt;=0.8,"Alta","Muy Alta"))))),"")</f>
        <v>Baja</v>
      </c>
      <c r="AB77" s="143">
        <f t="shared" ref="AB77:AB78" si="55">+Z77</f>
        <v>0.252</v>
      </c>
      <c r="AC77" s="162" t="str">
        <f t="shared" ref="AC77:AC98" si="56">IFERROR(IF(AD77="","",IF(AD77&lt;=0.2,"Leve",IF(AD77&lt;=0.4,"Menor",IF(AD77&lt;=0.6,"Moderado",IF(AD77&lt;=0.8,"Mayor","Catastrófico"))))),"")</f>
        <v>Catastrófico</v>
      </c>
      <c r="AD77" s="143">
        <f>IFERROR(IF(AND(S76="Impacto",S77="Impacto"),(AD76-(+AD76*V77)),IF(S77="Impacto",($O$23-(+$O$23*V77)),IF(S77="Probabilidad",AD76,""))),"")</f>
        <v>1</v>
      </c>
      <c r="AE77" s="163" t="str">
        <f t="shared" ref="AE77:AE78" si="57">IFERROR(IF(OR(AND(AA77="Muy Baja",AC77="Leve"),AND(AA77="Muy Baja",AC77="Menor"),AND(AA77="Baja",AC77="Leve")),"Bajo",IF(OR(AND(AA77="Muy baja",AC77="Moderado"),AND(AA77="Baja",AC77="Menor"),AND(AA77="Baja",AC77="Moderado"),AND(AA77="Media",AC77="Leve"),AND(AA77="Media",AC77="Menor"),AND(AA77="Media",AC77="Moderado"),AND(AA77="Alta",AC77="Leve"),AND(AA77="Alta",AC77="Menor")),"Moderado",IF(OR(AND(AA77="Muy Baja",AC77="Mayor"),AND(AA77="Baja",AC77="Mayor"),AND(AA77="Media",AC77="Mayor"),AND(AA77="Alta",AC77="Moderado"),AND(AA77="Alta",AC77="Mayor"),AND(AA77="Muy Alta",AC77="Leve"),AND(AA77="Muy Alta",AC77="Menor"),AND(AA77="Muy Alta",AC77="Moderado"),AND(AA77="Muy Alta",AC77="Mayor")),"Alto",IF(OR(AND(AA77="Muy Baja",AC77="Catastrófico"),AND(AA77="Baja",AC77="Catastrófico"),AND(AA77="Media",AC77="Catastrófico"),AND(AA77="Alta",AC77="Catastrófico"),AND(AA77="Muy Alta",AC77="Catastrófico")),"Extremo","")))),"")</f>
        <v>Extremo</v>
      </c>
      <c r="AF77" s="172"/>
      <c r="AG77" s="166" t="s">
        <v>399</v>
      </c>
      <c r="AH77" s="166" t="s">
        <v>573</v>
      </c>
      <c r="AI77" s="262">
        <v>44404</v>
      </c>
      <c r="AJ77" s="173" t="s">
        <v>566</v>
      </c>
      <c r="AK77" s="166" t="s">
        <v>569</v>
      </c>
      <c r="AL77" s="166" t="s">
        <v>41</v>
      </c>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row>
    <row r="78" spans="1:70" ht="96.75" customHeight="1" x14ac:dyDescent="0.3">
      <c r="A78" s="319"/>
      <c r="B78" s="318"/>
      <c r="C78" s="319"/>
      <c r="D78" s="303"/>
      <c r="E78" s="303"/>
      <c r="F78" s="303"/>
      <c r="G78" s="320"/>
      <c r="H78" s="303"/>
      <c r="I78" s="362"/>
      <c r="J78" s="321"/>
      <c r="K78" s="322"/>
      <c r="L78" s="347"/>
      <c r="M78" s="310">
        <f>IF(NOT(ISERROR(MATCH(L78,_xlfn.ANCHORARRAY(G85),0))),K87&amp;"Por favor no seleccionar los criterios de impacto",L78)</f>
        <v>0</v>
      </c>
      <c r="N78" s="321"/>
      <c r="O78" s="322"/>
      <c r="P78" s="309"/>
      <c r="Q78" s="140">
        <v>3</v>
      </c>
      <c r="R78" s="152" t="s">
        <v>400</v>
      </c>
      <c r="S78" s="141" t="str">
        <f t="shared" si="52"/>
        <v>Probabilidad</v>
      </c>
      <c r="T78" s="142" t="s">
        <v>14</v>
      </c>
      <c r="U78" s="142" t="s">
        <v>9</v>
      </c>
      <c r="V78" s="143" t="str">
        <f t="shared" si="53"/>
        <v>40%</v>
      </c>
      <c r="W78" s="142" t="s">
        <v>19</v>
      </c>
      <c r="X78" s="142" t="s">
        <v>23</v>
      </c>
      <c r="Y78" s="142" t="s">
        <v>119</v>
      </c>
      <c r="Z78" s="144">
        <f>IFERROR(IF(AND(S77="Probabilidad",S78="Probabilidad"),(AB77-(+AB77*V78)),IF(AND(S77="Impacto",S78="Probabilidad"),(AB76-(+AB76*V78)),IF(S78="Impacto",AB77,""))),"")</f>
        <v>0.1512</v>
      </c>
      <c r="AA78" s="162" t="str">
        <f t="shared" si="54"/>
        <v>Muy Baja</v>
      </c>
      <c r="AB78" s="143">
        <f t="shared" si="55"/>
        <v>0.1512</v>
      </c>
      <c r="AC78" s="162" t="str">
        <f t="shared" si="56"/>
        <v>Catastrófico</v>
      </c>
      <c r="AD78" s="143">
        <f>IFERROR(IF(AND(S77="Impacto",S78="Impacto"),(AD77-(+AD77*V78)),IF(AND(S77="Probabilidad",S78="Impacto"),(AD76-(+AD76*V78)),IF(S78="Probabilidad",AD77,""))),"")</f>
        <v>1</v>
      </c>
      <c r="AE78" s="163" t="str">
        <f t="shared" si="57"/>
        <v>Extremo</v>
      </c>
      <c r="AF78" s="172"/>
      <c r="AG78" s="166" t="s">
        <v>401</v>
      </c>
      <c r="AH78" s="166" t="s">
        <v>572</v>
      </c>
      <c r="AI78" s="262">
        <v>44404</v>
      </c>
      <c r="AJ78" s="173" t="s">
        <v>566</v>
      </c>
      <c r="AK78" s="166" t="s">
        <v>570</v>
      </c>
      <c r="AL78" s="166" t="s">
        <v>41</v>
      </c>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row>
    <row r="79" spans="1:70" ht="87" customHeight="1" x14ac:dyDescent="0.3">
      <c r="A79" s="319">
        <v>32</v>
      </c>
      <c r="B79" s="318"/>
      <c r="C79" s="319">
        <v>2</v>
      </c>
      <c r="D79" s="303" t="s">
        <v>133</v>
      </c>
      <c r="E79" s="303" t="s">
        <v>402</v>
      </c>
      <c r="F79" s="303" t="s">
        <v>403</v>
      </c>
      <c r="G79" s="320" t="s">
        <v>404</v>
      </c>
      <c r="H79" s="303" t="s">
        <v>123</v>
      </c>
      <c r="I79" s="362">
        <v>120</v>
      </c>
      <c r="J79" s="321" t="str">
        <f>IF(I79&lt;=0,"",IF(I79&lt;=2,"Muy Baja",IF(I79&lt;=24,"Baja",IF(I79&lt;=500,"Media",IF(I79&lt;=5000,"Alta","Muy Alta")))))</f>
        <v>Media</v>
      </c>
      <c r="K79" s="322">
        <f>IF(J79="","",IF(J79="Muy Baja",0.2,IF(J79="Baja",0.4,IF(J79="Media",0.6,IF(J79="Alta",0.8,IF(J79="Muy Alta",1,))))))</f>
        <v>0.6</v>
      </c>
      <c r="L79" s="347" t="s">
        <v>147</v>
      </c>
      <c r="M79" s="310" t="str">
        <f>IF(NOT(ISERROR(MATCH(L79,'[8]Tabla Impacto'!$B$221:$B$223,0))),'[8]Tabla Impacto'!$F$223&amp;"Por favor no seleccionar los criterios de impacto(Afectación Económica o presupuestal y Pérdida Reputacional)",L79)</f>
        <v xml:space="preserve">     Mayor a 500 SMLMV </v>
      </c>
      <c r="N79" s="321" t="str">
        <f>IF(OR(M79='[8]Tabla Impacto'!$C$11,M79='[8]Tabla Impacto'!$D$11),"Leve",IF(OR(M79='[8]Tabla Impacto'!$C$12,M79='[8]Tabla Impacto'!$D$12),"Menor",IF(OR(M79='[8]Tabla Impacto'!$C$13,M79='[8]Tabla Impacto'!$D$13),"Moderado",IF(OR(M79='[8]Tabla Impacto'!$C$14,M79='[8]Tabla Impacto'!$D$14),"Mayor",IF(OR(M79='[8]Tabla Impacto'!$C$15,M79='[8]Tabla Impacto'!$D$15),"Catastrófico","")))))</f>
        <v>Catastrófico</v>
      </c>
      <c r="O79" s="322">
        <f>IF(N79="","",IF(N79="Leve",0.2,IF(N79="Menor",0.4,IF(N79="Moderado",0.6,IF(N79="Mayor",0.8,IF(N79="Catastrófico",1,))))))</f>
        <v>1</v>
      </c>
      <c r="P79" s="309" t="str">
        <f>IF(OR(AND(J79="Muy Baja",N79="Leve"),AND(J79="Muy Baja",N79="Menor"),AND(J79="Baja",N79="Leve")),"Bajo",IF(OR(AND(J79="Muy baja",N79="Moderado"),AND(J79="Baja",N79="Menor"),AND(J79="Baja",N79="Moderado"),AND(J79="Media",N79="Leve"),AND(J79="Media",N79="Menor"),AND(J79="Media",N79="Moderado"),AND(J79="Alta",N79="Leve"),AND(J79="Alta",N79="Menor")),"Moderado",IF(OR(AND(J79="Muy Baja",N79="Mayor"),AND(J79="Baja",N79="Mayor"),AND(J79="Media",N79="Mayor"),AND(J79="Alta",N79="Moderado"),AND(J79="Alta",N79="Mayor"),AND(J79="Muy Alta",N79="Leve"),AND(J79="Muy Alta",N79="Menor"),AND(J79="Muy Alta",N79="Moderado"),AND(J79="Muy Alta",N79="Mayor")),"Alto",IF(OR(AND(J79="Muy Baja",N79="Catastrófico"),AND(J79="Baja",N79="Catastrófico"),AND(J79="Media",N79="Catastrófico"),AND(J79="Alta",N79="Catastrófico"),AND(J79="Muy Alta",N79="Catastrófico")),"Extremo",""))))</f>
        <v>Extremo</v>
      </c>
      <c r="Q79" s="140">
        <v>1</v>
      </c>
      <c r="R79" s="157" t="s">
        <v>405</v>
      </c>
      <c r="S79" s="141" t="str">
        <f t="shared" si="52"/>
        <v>Probabilidad</v>
      </c>
      <c r="T79" s="142" t="s">
        <v>15</v>
      </c>
      <c r="U79" s="142" t="s">
        <v>10</v>
      </c>
      <c r="V79" s="143" t="str">
        <f>IF(AND(T79="Preventivo",U79="Automático"),"50%",IF(AND(T79="Preventivo",U79="Manual"),"40%",IF(AND(T79="Detectivo",U79="Automático"),"40%",IF(AND(T79="Detectivo",U79="Manual"),"30%",IF(AND(T79="Correctivo",U79="Automático"),"35%",IF(AND(T79="Correctivo",U79="Manual"),"25%",""))))))</f>
        <v>40%</v>
      </c>
      <c r="W79" s="142" t="s">
        <v>19</v>
      </c>
      <c r="X79" s="142" t="s">
        <v>22</v>
      </c>
      <c r="Y79" s="142" t="s">
        <v>119</v>
      </c>
      <c r="Z79" s="144">
        <f>IFERROR(IF(S79="Probabilidad",(K79-(+K79*V79)),IF(S79="Impacto",K79,"")),"")</f>
        <v>0.36</v>
      </c>
      <c r="AA79" s="162" t="str">
        <f>IFERROR(IF(Z79="","",IF(Z79&lt;=0.2,"Muy Baja",IF(Z79&lt;=0.4,"Baja",IF(Z79&lt;=0.6,"Media",IF(Z79&lt;=0.8,"Alta","Muy Alta"))))),"")</f>
        <v>Baja</v>
      </c>
      <c r="AB79" s="143">
        <f>+Z79</f>
        <v>0.36</v>
      </c>
      <c r="AC79" s="162" t="str">
        <f>IFERROR(IF(AD79="","",IF(AD79&lt;=0.2,"Leve",IF(AD79&lt;=0.4,"Menor",IF(AD79&lt;=0.6,"Moderado",IF(AD79&lt;=0.8,"Mayor","Catastrófico"))))),"")</f>
        <v>Catastrófico</v>
      </c>
      <c r="AD79" s="143">
        <f>IFERROR(IF(S79="Impacto",(O79-(+O79*V79)),IF(S79="Probabilidad",O79,"")),"")</f>
        <v>1</v>
      </c>
      <c r="AE79" s="163" t="str">
        <f>IFERROR(IF(OR(AND(AA79="Muy Baja",AC79="Leve"),AND(AA79="Muy Baja",AC79="Menor"),AND(AA79="Baja",AC79="Leve")),"Bajo",IF(OR(AND(AA79="Muy baja",AC79="Moderado"),AND(AA79="Baja",AC79="Menor"),AND(AA79="Baja",AC79="Moderado"),AND(AA79="Media",AC79="Leve"),AND(AA79="Media",AC79="Menor"),AND(AA79="Media",AC79="Moderado"),AND(AA79="Alta",AC79="Leve"),AND(AA79="Alta",AC79="Menor")),"Moderado",IF(OR(AND(AA79="Muy Baja",AC79="Mayor"),AND(AA79="Baja",AC79="Mayor"),AND(AA79="Media",AC79="Mayor"),AND(AA79="Alta",AC79="Moderado"),AND(AA79="Alta",AC79="Mayor"),AND(AA79="Muy Alta",AC79="Leve"),AND(AA79="Muy Alta",AC79="Menor"),AND(AA79="Muy Alta",AC79="Moderado"),AND(AA79="Muy Alta",AC79="Mayor")),"Alto",IF(OR(AND(AA79="Muy Baja",AC79="Catastrófico"),AND(AA79="Baja",AC79="Catastrófico"),AND(AA79="Media",AC79="Catastrófico"),AND(AA79="Alta",AC79="Catastrófico"),AND(AA79="Muy Alta",AC79="Catastrófico")),"Extremo","")))),"")</f>
        <v>Extremo</v>
      </c>
      <c r="AF79" s="172"/>
      <c r="AG79" s="166" t="s">
        <v>406</v>
      </c>
      <c r="AH79" s="166" t="s">
        <v>572</v>
      </c>
      <c r="AI79" s="262">
        <v>44404</v>
      </c>
      <c r="AJ79" s="173" t="s">
        <v>566</v>
      </c>
      <c r="AK79" s="166" t="s">
        <v>571</v>
      </c>
      <c r="AL79" s="166" t="s">
        <v>41</v>
      </c>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row>
    <row r="80" spans="1:70" ht="81.75" customHeight="1" x14ac:dyDescent="0.3">
      <c r="A80" s="319"/>
      <c r="B80" s="318"/>
      <c r="C80" s="319"/>
      <c r="D80" s="303"/>
      <c r="E80" s="303"/>
      <c r="F80" s="303"/>
      <c r="G80" s="320"/>
      <c r="H80" s="303"/>
      <c r="I80" s="362"/>
      <c r="J80" s="321"/>
      <c r="K80" s="322"/>
      <c r="L80" s="347"/>
      <c r="M80" s="310">
        <f>IF(NOT(ISERROR(MATCH(L80,_xlfn.ANCHORARRAY(G90),0))),K92&amp;"Por favor no seleccionar los criterios de impacto",L80)</f>
        <v>0</v>
      </c>
      <c r="N80" s="321"/>
      <c r="O80" s="322"/>
      <c r="P80" s="309"/>
      <c r="Q80" s="140">
        <v>2</v>
      </c>
      <c r="R80" s="157" t="s">
        <v>407</v>
      </c>
      <c r="S80" s="141" t="str">
        <f t="shared" si="52"/>
        <v>Probabilidad</v>
      </c>
      <c r="T80" s="142" t="s">
        <v>15</v>
      </c>
      <c r="U80" s="142" t="s">
        <v>10</v>
      </c>
      <c r="V80" s="143" t="str">
        <f t="shared" ref="V80:V83" si="58">IF(AND(T80="Preventivo",U80="Automático"),"50%",IF(AND(T80="Preventivo",U80="Manual"),"40%",IF(AND(T80="Detectivo",U80="Automático"),"40%",IF(AND(T80="Detectivo",U80="Manual"),"30%",IF(AND(T80="Correctivo",U80="Automático"),"35%",IF(AND(T80="Correctivo",U80="Manual"),"25%",""))))))</f>
        <v>40%</v>
      </c>
      <c r="W80" s="142" t="s">
        <v>19</v>
      </c>
      <c r="X80" s="142" t="s">
        <v>22</v>
      </c>
      <c r="Y80" s="142" t="s">
        <v>119</v>
      </c>
      <c r="Z80" s="144">
        <f>IFERROR(IF(AND(S79="Probabilidad",S80="Probabilidad"),(AB79-(+AB79*V80)),IF(S80="Probabilidad",(K79-(+K79*V80)),IF(S80="Impacto",AB79,""))),"")</f>
        <v>0.216</v>
      </c>
      <c r="AA80" s="162" t="str">
        <f t="shared" si="54"/>
        <v>Baja</v>
      </c>
      <c r="AB80" s="143">
        <f t="shared" ref="AB80:AB83" si="59">+Z80</f>
        <v>0.216</v>
      </c>
      <c r="AC80" s="162" t="str">
        <f t="shared" si="56"/>
        <v>Catastrófico</v>
      </c>
      <c r="AD80" s="143">
        <f>IFERROR(IF(AND(S79="Impacto",S80="Impacto"),(AD76-(+AD76*V80)),IF(S80="Impacto",($O$29-(+$O$29*V80)),IF(S80="Probabilidad",AD76,""))),"")</f>
        <v>1</v>
      </c>
      <c r="AE80" s="163" t="str">
        <f t="shared" ref="AE80:AE81" si="60">IFERROR(IF(OR(AND(AA80="Muy Baja",AC80="Leve"),AND(AA80="Muy Baja",AC80="Menor"),AND(AA80="Baja",AC80="Leve")),"Bajo",IF(OR(AND(AA80="Muy baja",AC80="Moderado"),AND(AA80="Baja",AC80="Menor"),AND(AA80="Baja",AC80="Moderado"),AND(AA80="Media",AC80="Leve"),AND(AA80="Media",AC80="Menor"),AND(AA80="Media",AC80="Moderado"),AND(AA80="Alta",AC80="Leve"),AND(AA80="Alta",AC80="Menor")),"Moderado",IF(OR(AND(AA80="Muy Baja",AC80="Mayor"),AND(AA80="Baja",AC80="Mayor"),AND(AA80="Media",AC80="Mayor"),AND(AA80="Alta",AC80="Moderado"),AND(AA80="Alta",AC80="Mayor"),AND(AA80="Muy Alta",AC80="Leve"),AND(AA80="Muy Alta",AC80="Menor"),AND(AA80="Muy Alta",AC80="Moderado"),AND(AA80="Muy Alta",AC80="Mayor")),"Alto",IF(OR(AND(AA80="Muy Baja",AC80="Catastrófico"),AND(AA80="Baja",AC80="Catastrófico"),AND(AA80="Media",AC80="Catastrófico"),AND(AA80="Alta",AC80="Catastrófico"),AND(AA80="Muy Alta",AC80="Catastrófico")),"Extremo","")))),"")</f>
        <v>Extremo</v>
      </c>
      <c r="AF80" s="172"/>
      <c r="AG80" s="166" t="s">
        <v>576</v>
      </c>
      <c r="AH80" s="166" t="s">
        <v>572</v>
      </c>
      <c r="AI80" s="262">
        <v>44404</v>
      </c>
      <c r="AJ80" s="173" t="s">
        <v>566</v>
      </c>
      <c r="AK80" s="166" t="s">
        <v>575</v>
      </c>
      <c r="AL80" s="166" t="s">
        <v>41</v>
      </c>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row>
    <row r="81" spans="1:70" ht="66.75" customHeight="1" x14ac:dyDescent="0.3">
      <c r="A81" s="319"/>
      <c r="B81" s="318"/>
      <c r="C81" s="319"/>
      <c r="D81" s="303"/>
      <c r="E81" s="303"/>
      <c r="F81" s="303"/>
      <c r="G81" s="320"/>
      <c r="H81" s="303"/>
      <c r="I81" s="362"/>
      <c r="J81" s="321"/>
      <c r="K81" s="322"/>
      <c r="L81" s="347"/>
      <c r="M81" s="310">
        <f>IF(NOT(ISERROR(MATCH(L81,_xlfn.ANCHORARRAY(G91),0))),#REF!&amp;"Por favor no seleccionar los criterios de impacto",L81)</f>
        <v>0</v>
      </c>
      <c r="N81" s="321"/>
      <c r="O81" s="322"/>
      <c r="P81" s="309"/>
      <c r="Q81" s="140">
        <v>3</v>
      </c>
      <c r="R81" s="157" t="s">
        <v>408</v>
      </c>
      <c r="S81" s="141" t="str">
        <f t="shared" si="52"/>
        <v>Probabilidad</v>
      </c>
      <c r="T81" s="142" t="s">
        <v>14</v>
      </c>
      <c r="U81" s="142" t="s">
        <v>9</v>
      </c>
      <c r="V81" s="143" t="str">
        <f t="shared" si="58"/>
        <v>40%</v>
      </c>
      <c r="W81" s="142" t="s">
        <v>19</v>
      </c>
      <c r="X81" s="142" t="s">
        <v>23</v>
      </c>
      <c r="Y81" s="142" t="s">
        <v>119</v>
      </c>
      <c r="Z81" s="144">
        <f>IFERROR(IF(AND(S80="Probabilidad",S81="Probabilidad"),(AB80-(+AB80*V81)),IF(AND(S80="Impacto",S81="Probabilidad"),(AB79-(+AB79*V81)),IF(S81="Impacto",AB80,""))),"")</f>
        <v>0.12959999999999999</v>
      </c>
      <c r="AA81" s="162" t="str">
        <f t="shared" si="54"/>
        <v>Muy Baja</v>
      </c>
      <c r="AB81" s="143">
        <f t="shared" si="59"/>
        <v>0.12959999999999999</v>
      </c>
      <c r="AC81" s="162" t="str">
        <f t="shared" si="56"/>
        <v>Catastrófico</v>
      </c>
      <c r="AD81" s="143">
        <f>IFERROR(IF(AND(S80="Impacto",S81="Impacto"),(AD80-(+AD80*V81)),IF(AND(S80="Probabilidad",S81="Impacto"),(AD79-(+AD79*V81)),IF(S81="Probabilidad",AD80,""))),"")</f>
        <v>1</v>
      </c>
      <c r="AE81" s="163" t="str">
        <f t="shared" si="60"/>
        <v>Extremo</v>
      </c>
      <c r="AF81" s="172"/>
      <c r="AG81" s="166" t="s">
        <v>409</v>
      </c>
      <c r="AH81" s="166" t="s">
        <v>572</v>
      </c>
      <c r="AI81" s="262">
        <v>44404</v>
      </c>
      <c r="AJ81" s="173" t="s">
        <v>566</v>
      </c>
      <c r="AK81" s="166" t="s">
        <v>575</v>
      </c>
      <c r="AL81" s="166" t="s">
        <v>41</v>
      </c>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row>
    <row r="82" spans="1:70" ht="87.75" customHeight="1" x14ac:dyDescent="0.3">
      <c r="A82" s="319"/>
      <c r="B82" s="318"/>
      <c r="C82" s="319"/>
      <c r="D82" s="303"/>
      <c r="E82" s="303"/>
      <c r="F82" s="303"/>
      <c r="G82" s="320"/>
      <c r="H82" s="303"/>
      <c r="I82" s="362"/>
      <c r="J82" s="321"/>
      <c r="K82" s="322"/>
      <c r="L82" s="347"/>
      <c r="M82" s="310">
        <f>IF(NOT(ISERROR(MATCH(L82,_xlfn.ANCHORARRAY(G92),0))),#REF!&amp;"Por favor no seleccionar los criterios de impacto",L82)</f>
        <v>0</v>
      </c>
      <c r="N82" s="321"/>
      <c r="O82" s="322"/>
      <c r="P82" s="309"/>
      <c r="Q82" s="140">
        <v>4</v>
      </c>
      <c r="R82" s="157" t="s">
        <v>410</v>
      </c>
      <c r="S82" s="141" t="str">
        <f t="shared" ref="S82:S83" si="61">IF(OR(T82="Preventivo",T82="Detectivo"),"Probabilidad",IF(T82="Correctivo","Impacto",""))</f>
        <v>Impacto</v>
      </c>
      <c r="T82" s="142" t="s">
        <v>16</v>
      </c>
      <c r="U82" s="142" t="s">
        <v>9</v>
      </c>
      <c r="V82" s="143" t="str">
        <f t="shared" si="58"/>
        <v>25%</v>
      </c>
      <c r="W82" s="142" t="s">
        <v>19</v>
      </c>
      <c r="X82" s="142" t="s">
        <v>23</v>
      </c>
      <c r="Y82" s="142" t="s">
        <v>119</v>
      </c>
      <c r="Z82" s="144">
        <f t="shared" ref="Z82:Z83" si="62">IFERROR(IF(AND(S81="Probabilidad",S82="Probabilidad"),(AB81-(+AB81*V82)),IF(AND(S81="Impacto",S82="Probabilidad"),(AB80-(+AB80*V82)),IF(S82="Impacto",AB81,""))),"")</f>
        <v>0.12959999999999999</v>
      </c>
      <c r="AA82" s="162" t="str">
        <f t="shared" si="54"/>
        <v>Muy Baja</v>
      </c>
      <c r="AB82" s="143">
        <f t="shared" si="59"/>
        <v>0.12959999999999999</v>
      </c>
      <c r="AC82" s="162" t="str">
        <f t="shared" si="56"/>
        <v>Mayor</v>
      </c>
      <c r="AD82" s="143">
        <f t="shared" ref="AD82:AD83" si="63">IFERROR(IF(AND(S81="Impacto",S82="Impacto"),(AD81-(+AD81*V82)),IF(AND(S81="Probabilidad",S82="Impacto"),(AD80-(+AD80*V82)),IF(S82="Probabilidad",AD81,""))),"")</f>
        <v>0.75</v>
      </c>
      <c r="AE82" s="163" t="str">
        <f>IFERROR(IF(OR(AND(AA82="Muy Baja",AC82="Leve"),AND(AA82="Muy Baja",AC82="Menor"),AND(AA82="Baja",AC82="Leve")),"Bajo",IF(OR(AND(AA82="Muy baja",AC82="Moderado"),AND(AA82="Baja",AC82="Menor"),AND(AA82="Baja",AC82="Moderado"),AND(AA82="Media",AC82="Leve"),AND(AA82="Media",AC82="Menor"),AND(AA82="Media",AC82="Moderado"),AND(AA82="Alta",AC82="Leve"),AND(AA82="Alta",AC82="Menor")),"Moderado",IF(OR(AND(AA82="Muy Baja",AC82="Mayor"),AND(AA82="Baja",AC82="Mayor"),AND(AA82="Media",AC82="Mayor"),AND(AA82="Alta",AC82="Moderado"),AND(AA82="Alta",AC82="Mayor"),AND(AA82="Muy Alta",AC82="Leve"),AND(AA82="Muy Alta",AC82="Menor"),AND(AA82="Muy Alta",AC82="Moderado"),AND(AA82="Muy Alta",AC82="Mayor")),"Alto",IF(OR(AND(AA82="Muy Baja",AC82="Catastrófico"),AND(AA82="Baja",AC82="Catastrófico"),AND(AA82="Media",AC82="Catastrófico"),AND(AA82="Alta",AC82="Catastrófico"),AND(AA82="Muy Alta",AC82="Catastrófico")),"Extremo","")))),"")</f>
        <v>Alto</v>
      </c>
      <c r="AF82" s="172"/>
      <c r="AG82" s="166" t="s">
        <v>577</v>
      </c>
      <c r="AH82" s="166" t="s">
        <v>572</v>
      </c>
      <c r="AI82" s="262">
        <v>44404</v>
      </c>
      <c r="AJ82" s="173" t="s">
        <v>566</v>
      </c>
      <c r="AK82" s="166" t="s">
        <v>578</v>
      </c>
      <c r="AL82" s="166" t="s">
        <v>41</v>
      </c>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row>
    <row r="83" spans="1:70" ht="60" customHeight="1" x14ac:dyDescent="0.3">
      <c r="A83" s="319"/>
      <c r="B83" s="318"/>
      <c r="C83" s="319"/>
      <c r="D83" s="303"/>
      <c r="E83" s="303"/>
      <c r="F83" s="303"/>
      <c r="G83" s="320"/>
      <c r="H83" s="303"/>
      <c r="I83" s="362"/>
      <c r="J83" s="321"/>
      <c r="K83" s="322"/>
      <c r="L83" s="347"/>
      <c r="M83" s="310">
        <f>IF(NOT(ISERROR(MATCH(L83,_xlfn.ANCHORARRAY(#REF!),0))),#REF!&amp;"Por favor no seleccionar los criterios de impacto",L83)</f>
        <v>0</v>
      </c>
      <c r="N83" s="321"/>
      <c r="O83" s="322"/>
      <c r="P83" s="309"/>
      <c r="Q83" s="140">
        <v>5</v>
      </c>
      <c r="R83" s="157" t="s">
        <v>411</v>
      </c>
      <c r="S83" s="141" t="str">
        <f t="shared" si="61"/>
        <v>Probabilidad</v>
      </c>
      <c r="T83" s="142" t="s">
        <v>15</v>
      </c>
      <c r="U83" s="142" t="s">
        <v>9</v>
      </c>
      <c r="V83" s="143" t="str">
        <f t="shared" si="58"/>
        <v>30%</v>
      </c>
      <c r="W83" s="142" t="s">
        <v>19</v>
      </c>
      <c r="X83" s="142" t="s">
        <v>22</v>
      </c>
      <c r="Y83" s="142" t="s">
        <v>119</v>
      </c>
      <c r="Z83" s="144">
        <f t="shared" si="62"/>
        <v>9.0719999999999995E-2</v>
      </c>
      <c r="AA83" s="162" t="str">
        <f t="shared" si="54"/>
        <v>Muy Baja</v>
      </c>
      <c r="AB83" s="143">
        <f t="shared" si="59"/>
        <v>9.0719999999999995E-2</v>
      </c>
      <c r="AC83" s="162" t="str">
        <f t="shared" si="56"/>
        <v>Mayor</v>
      </c>
      <c r="AD83" s="143">
        <f t="shared" si="63"/>
        <v>0.75</v>
      </c>
      <c r="AE83" s="163" t="str">
        <f t="shared" ref="AE83" si="64">IFERROR(IF(OR(AND(AA83="Muy Baja",AC83="Leve"),AND(AA83="Muy Baja",AC83="Menor"),AND(AA83="Baja",AC83="Leve")),"Bajo",IF(OR(AND(AA83="Muy baja",AC83="Moderado"),AND(AA83="Baja",AC83="Menor"),AND(AA83="Baja",AC83="Moderado"),AND(AA83="Media",AC83="Leve"),AND(AA83="Media",AC83="Menor"),AND(AA83="Media",AC83="Moderado"),AND(AA83="Alta",AC83="Leve"),AND(AA83="Alta",AC83="Menor")),"Moderado",IF(OR(AND(AA83="Muy Baja",AC83="Mayor"),AND(AA83="Baja",AC83="Mayor"),AND(AA83="Media",AC83="Mayor"),AND(AA83="Alta",AC83="Moderado"),AND(AA83="Alta",AC83="Mayor"),AND(AA83="Muy Alta",AC83="Leve"),AND(AA83="Muy Alta",AC83="Menor"),AND(AA83="Muy Alta",AC83="Moderado"),AND(AA83="Muy Alta",AC83="Mayor")),"Alto",IF(OR(AND(AA83="Muy Baja",AC83="Catastrófico"),AND(AA83="Baja",AC83="Catastrófico"),AND(AA83="Media",AC83="Catastrófico"),AND(AA83="Alta",AC83="Catastrófico"),AND(AA83="Muy Alta",AC83="Catastrófico")),"Extremo","")))),"")</f>
        <v>Alto</v>
      </c>
      <c r="AF83" s="172"/>
      <c r="AG83" s="166" t="s">
        <v>412</v>
      </c>
      <c r="AH83" s="166" t="s">
        <v>573</v>
      </c>
      <c r="AI83" s="262">
        <v>44404</v>
      </c>
      <c r="AJ83" s="173" t="s">
        <v>566</v>
      </c>
      <c r="AK83" s="166" t="s">
        <v>579</v>
      </c>
      <c r="AL83" s="166" t="s">
        <v>41</v>
      </c>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row>
    <row r="84" spans="1:70" ht="86.25" customHeight="1" x14ac:dyDescent="0.3">
      <c r="A84" s="319">
        <v>33</v>
      </c>
      <c r="B84" s="318"/>
      <c r="C84" s="319">
        <v>3</v>
      </c>
      <c r="D84" s="303" t="s">
        <v>133</v>
      </c>
      <c r="E84" s="303" t="s">
        <v>413</v>
      </c>
      <c r="F84" s="303" t="s">
        <v>414</v>
      </c>
      <c r="G84" s="320" t="s">
        <v>415</v>
      </c>
      <c r="H84" s="303" t="s">
        <v>123</v>
      </c>
      <c r="I84" s="362">
        <v>120</v>
      </c>
      <c r="J84" s="321" t="str">
        <f>IF(I84&lt;=0,"",IF(I84&lt;=2,"Muy Baja",IF(I84&lt;=24,"Baja",IF(I84&lt;=500,"Media",IF(I84&lt;=5000,"Alta","Muy Alta")))))</f>
        <v>Media</v>
      </c>
      <c r="K84" s="322">
        <f>IF(J84="","",IF(J84="Muy Baja",0.2,IF(J84="Baja",0.4,IF(J84="Media",0.6,IF(J84="Alta",0.8,IF(J84="Muy Alta",1,))))))</f>
        <v>0.6</v>
      </c>
      <c r="L84" s="347" t="s">
        <v>147</v>
      </c>
      <c r="M84" s="310" t="str">
        <f>IF(NOT(ISERROR(MATCH(L84,'[8]Tabla Impacto'!$B$221:$B$223,0))),'[8]Tabla Impacto'!$F$223&amp;"Por favor no seleccionar los criterios de impacto(Afectación Económica o presupuestal y Pérdida Reputacional)",L84)</f>
        <v xml:space="preserve">     Mayor a 500 SMLMV </v>
      </c>
      <c r="N84" s="321" t="str">
        <f>IF(OR(M84='[8]Tabla Impacto'!$C$11,M84='[8]Tabla Impacto'!$D$11),"Leve",IF(OR(M84='[8]Tabla Impacto'!$C$12,M84='[8]Tabla Impacto'!$D$12),"Menor",IF(OR(M84='[8]Tabla Impacto'!$C$13,M84='[8]Tabla Impacto'!$D$13),"Moderado",IF(OR(M84='[8]Tabla Impacto'!$C$14,M84='[8]Tabla Impacto'!$D$14),"Mayor",IF(OR(M84='[8]Tabla Impacto'!$C$15,M84='[8]Tabla Impacto'!$D$15),"Catastrófico","")))))</f>
        <v>Catastrófico</v>
      </c>
      <c r="O84" s="322">
        <f>IF(N84="","",IF(N84="Leve",0.2,IF(N84="Menor",0.4,IF(N84="Moderado",0.6,IF(N84="Mayor",0.8,IF(N84="Catastrófico",1,))))))</f>
        <v>1</v>
      </c>
      <c r="P84" s="309" t="str">
        <f>IF(OR(AND(J84="Muy Baja",N84="Leve"),AND(J84="Muy Baja",N84="Menor"),AND(J84="Baja",N84="Leve")),"Bajo",IF(OR(AND(J84="Muy baja",N84="Moderado"),AND(J84="Baja",N84="Menor"),AND(J84="Baja",N84="Moderado"),AND(J84="Media",N84="Leve"),AND(J84="Media",N84="Menor"),AND(J84="Media",N84="Moderado"),AND(J84="Alta",N84="Leve"),AND(J84="Alta",N84="Menor")),"Moderado",IF(OR(AND(J84="Muy Baja",N84="Mayor"),AND(J84="Baja",N84="Mayor"),AND(J84="Media",N84="Mayor"),AND(J84="Alta",N84="Moderado"),AND(J84="Alta",N84="Mayor"),AND(J84="Muy Alta",N84="Leve"),AND(J84="Muy Alta",N84="Menor"),AND(J84="Muy Alta",N84="Moderado"),AND(J84="Muy Alta",N84="Mayor")),"Alto",IF(OR(AND(J84="Muy Baja",N84="Catastrófico"),AND(J84="Baja",N84="Catastrófico"),AND(J84="Media",N84="Catastrófico"),AND(J84="Alta",N84="Catastrófico"),AND(J84="Muy Alta",N84="Catastrófico")),"Extremo",""))))</f>
        <v>Extremo</v>
      </c>
      <c r="Q84" s="140">
        <v>1</v>
      </c>
      <c r="R84" s="157" t="s">
        <v>395</v>
      </c>
      <c r="S84" s="141" t="str">
        <f>IF(OR(T84="Preventivo",T84="Detectivo"),"Probabilidad",IF(T84="Correctivo","Impacto",""))</f>
        <v>Probabilidad</v>
      </c>
      <c r="T84" s="142" t="s">
        <v>15</v>
      </c>
      <c r="U84" s="142" t="s">
        <v>10</v>
      </c>
      <c r="V84" s="143" t="str">
        <f>IF(AND(T84="Preventivo",U84="Automático"),"50%",IF(AND(T84="Preventivo",U84="Manual"),"40%",IF(AND(T84="Detectivo",U84="Automático"),"40%",IF(AND(T84="Detectivo",U84="Manual"),"30%",IF(AND(T84="Correctivo",U84="Automático"),"35%",IF(AND(T84="Correctivo",U84="Manual"),"25%",""))))))</f>
        <v>40%</v>
      </c>
      <c r="W84" s="142" t="s">
        <v>19</v>
      </c>
      <c r="X84" s="142" t="s">
        <v>22</v>
      </c>
      <c r="Y84" s="142" t="s">
        <v>119</v>
      </c>
      <c r="Z84" s="144">
        <f>IFERROR(IF(S84="Probabilidad",(K84-(+K84*V84)),IF(S84="Impacto",K84,"")),"")</f>
        <v>0.36</v>
      </c>
      <c r="AA84" s="162" t="str">
        <f>IFERROR(IF(Z84="","",IF(Z84&lt;=0.2,"Muy Baja",IF(Z84&lt;=0.4,"Baja",IF(Z84&lt;=0.6,"Media",IF(Z84&lt;=0.8,"Alta","Muy Alta"))))),"")</f>
        <v>Baja</v>
      </c>
      <c r="AB84" s="143">
        <f>+Z84</f>
        <v>0.36</v>
      </c>
      <c r="AC84" s="162" t="str">
        <f>IFERROR(IF(AD84="","",IF(AD84&lt;=0.2,"Leve",IF(AD84&lt;=0.4,"Menor",IF(AD84&lt;=0.6,"Moderado",IF(AD84&lt;=0.8,"Mayor","Catastrófico"))))),"")</f>
        <v>Catastrófico</v>
      </c>
      <c r="AD84" s="143">
        <f>IFERROR(IF(S84="Impacto",(O84-(+O84*V84)),IF(S84="Probabilidad",O84,"")),"")</f>
        <v>1</v>
      </c>
      <c r="AE84" s="163" t="str">
        <f>IFERROR(IF(OR(AND(AA84="Muy Baja",AC84="Leve"),AND(AA84="Muy Baja",AC84="Menor"),AND(AA84="Baja",AC84="Leve")),"Bajo",IF(OR(AND(AA84="Muy baja",AC84="Moderado"),AND(AA84="Baja",AC84="Menor"),AND(AA84="Baja",AC84="Moderado"),AND(AA84="Media",AC84="Leve"),AND(AA84="Media",AC84="Menor"),AND(AA84="Media",AC84="Moderado"),AND(AA84="Alta",AC84="Leve"),AND(AA84="Alta",AC84="Menor")),"Moderado",IF(OR(AND(AA84="Muy Baja",AC84="Mayor"),AND(AA84="Baja",AC84="Mayor"),AND(AA84="Media",AC84="Mayor"),AND(AA84="Alta",AC84="Moderado"),AND(AA84="Alta",AC84="Mayor"),AND(AA84="Muy Alta",AC84="Leve"),AND(AA84="Muy Alta",AC84="Menor"),AND(AA84="Muy Alta",AC84="Moderado"),AND(AA84="Muy Alta",AC84="Mayor")),"Alto",IF(OR(AND(AA84="Muy Baja",AC84="Catastrófico"),AND(AA84="Baja",AC84="Catastrófico"),AND(AA84="Media",AC84="Catastrófico"),AND(AA84="Alta",AC84="Catastrófico"),AND(AA84="Muy Alta",AC84="Catastrófico")),"Extremo","")))),"")</f>
        <v>Extremo</v>
      </c>
      <c r="AF84" s="172"/>
      <c r="AG84" s="166" t="s">
        <v>396</v>
      </c>
      <c r="AH84" s="166" t="s">
        <v>572</v>
      </c>
      <c r="AI84" s="262">
        <v>44404</v>
      </c>
      <c r="AJ84" s="173" t="s">
        <v>566</v>
      </c>
      <c r="AK84" s="166" t="s">
        <v>580</v>
      </c>
      <c r="AL84" s="166" t="s">
        <v>41</v>
      </c>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row>
    <row r="85" spans="1:70" ht="78.75" customHeight="1" x14ac:dyDescent="0.3">
      <c r="A85" s="319"/>
      <c r="B85" s="318"/>
      <c r="C85" s="319"/>
      <c r="D85" s="303"/>
      <c r="E85" s="303"/>
      <c r="F85" s="303"/>
      <c r="G85" s="320"/>
      <c r="H85" s="303"/>
      <c r="I85" s="362"/>
      <c r="J85" s="321"/>
      <c r="K85" s="322"/>
      <c r="L85" s="347"/>
      <c r="M85" s="310">
        <f>IF(NOT(ISERROR(MATCH(L85,_xlfn.ANCHORARRAY(G93),0))),K95&amp;"Por favor no seleccionar los criterios de impacto",L85)</f>
        <v>0</v>
      </c>
      <c r="N85" s="321"/>
      <c r="O85" s="322"/>
      <c r="P85" s="309"/>
      <c r="Q85" s="140">
        <v>2</v>
      </c>
      <c r="R85" s="157" t="s">
        <v>416</v>
      </c>
      <c r="S85" s="141" t="str">
        <f>IF(OR(T85="Preventivo",T85="Detectivo"),"Probabilidad",IF(T85="Correctivo","Impacto",""))</f>
        <v>Probabilidad</v>
      </c>
      <c r="T85" s="142" t="s">
        <v>15</v>
      </c>
      <c r="U85" s="142" t="s">
        <v>9</v>
      </c>
      <c r="V85" s="143" t="str">
        <f t="shared" ref="V85:V89" si="65">IF(AND(T85="Preventivo",U85="Automático"),"50%",IF(AND(T85="Preventivo",U85="Manual"),"40%",IF(AND(T85="Detectivo",U85="Automático"),"40%",IF(AND(T85="Detectivo",U85="Manual"),"30%",IF(AND(T85="Correctivo",U85="Automático"),"35%",IF(AND(T85="Correctivo",U85="Manual"),"25%",""))))))</f>
        <v>30%</v>
      </c>
      <c r="W85" s="142" t="s">
        <v>19</v>
      </c>
      <c r="X85" s="142" t="s">
        <v>23</v>
      </c>
      <c r="Y85" s="142" t="s">
        <v>119</v>
      </c>
      <c r="Z85" s="261">
        <f>IFERROR(IF(AND(S84="Probabilidad",S85="Probabilidad"),(AB84-(+AB84*V85)),IF(S85="Probabilidad",(K84-(+K84*V85)),IF(S85="Impacto",AB84,""))),"")</f>
        <v>0.252</v>
      </c>
      <c r="AA85" s="162" t="str">
        <f t="shared" si="54"/>
        <v>Baja</v>
      </c>
      <c r="AB85" s="143">
        <f t="shared" ref="AB85:AB89" si="66">+Z85</f>
        <v>0.252</v>
      </c>
      <c r="AC85" s="162" t="str">
        <f t="shared" si="56"/>
        <v>Catastrófico</v>
      </c>
      <c r="AD85" s="143">
        <f>IFERROR(IF(AND(S84="Impacto",S85="Impacto"),(AD79-(+AD79*V85)),IF(S85="Impacto",($O$45-(+$O$45*V85)),IF(S85="Probabilidad",AD79,""))),"")</f>
        <v>1</v>
      </c>
      <c r="AE85" s="163" t="str">
        <f t="shared" ref="AE85:AE86" si="67">IFERROR(IF(OR(AND(AA85="Muy Baja",AC85="Leve"),AND(AA85="Muy Baja",AC85="Menor"),AND(AA85="Baja",AC85="Leve")),"Bajo",IF(OR(AND(AA85="Muy baja",AC85="Moderado"),AND(AA85="Baja",AC85="Menor"),AND(AA85="Baja",AC85="Moderado"),AND(AA85="Media",AC85="Leve"),AND(AA85="Media",AC85="Menor"),AND(AA85="Media",AC85="Moderado"),AND(AA85="Alta",AC85="Leve"),AND(AA85="Alta",AC85="Menor")),"Moderado",IF(OR(AND(AA85="Muy Baja",AC85="Mayor"),AND(AA85="Baja",AC85="Mayor"),AND(AA85="Media",AC85="Mayor"),AND(AA85="Alta",AC85="Moderado"),AND(AA85="Alta",AC85="Mayor"),AND(AA85="Muy Alta",AC85="Leve"),AND(AA85="Muy Alta",AC85="Menor"),AND(AA85="Muy Alta",AC85="Moderado"),AND(AA85="Muy Alta",AC85="Mayor")),"Alto",IF(OR(AND(AA85="Muy Baja",AC85="Catastrófico"),AND(AA85="Baja",AC85="Catastrófico"),AND(AA85="Media",AC85="Catastrófico"),AND(AA85="Alta",AC85="Catastrófico"),AND(AA85="Muy Alta",AC85="Catastrófico")),"Extremo","")))),"")</f>
        <v>Extremo</v>
      </c>
      <c r="AF85" s="172"/>
      <c r="AG85" s="166" t="s">
        <v>417</v>
      </c>
      <c r="AH85" s="166" t="s">
        <v>572</v>
      </c>
      <c r="AI85" s="262">
        <v>44404</v>
      </c>
      <c r="AJ85" s="173" t="s">
        <v>566</v>
      </c>
      <c r="AK85" s="166" t="s">
        <v>581</v>
      </c>
      <c r="AL85" s="166" t="s">
        <v>41</v>
      </c>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row>
    <row r="86" spans="1:70" ht="75.75" customHeight="1" x14ac:dyDescent="0.3">
      <c r="A86" s="319"/>
      <c r="B86" s="318"/>
      <c r="C86" s="319"/>
      <c r="D86" s="303"/>
      <c r="E86" s="303"/>
      <c r="F86" s="303"/>
      <c r="G86" s="320"/>
      <c r="H86" s="303"/>
      <c r="I86" s="362"/>
      <c r="J86" s="321"/>
      <c r="K86" s="322"/>
      <c r="L86" s="347"/>
      <c r="M86" s="310">
        <f>IF(NOT(ISERROR(MATCH(L86,_xlfn.ANCHORARRAY(G94),0))),#REF!&amp;"Por favor no seleccionar los criterios de impacto",L86)</f>
        <v>0</v>
      </c>
      <c r="N86" s="321"/>
      <c r="O86" s="322"/>
      <c r="P86" s="309"/>
      <c r="Q86" s="140">
        <v>3</v>
      </c>
      <c r="R86" s="152" t="s">
        <v>418</v>
      </c>
      <c r="S86" s="141" t="str">
        <f>IF(OR(T86="Preventivo",T86="Detectivo"),"Probabilidad",IF(T86="Correctivo","Impacto",""))</f>
        <v>Probabilidad</v>
      </c>
      <c r="T86" s="142" t="s">
        <v>15</v>
      </c>
      <c r="U86" s="142" t="s">
        <v>9</v>
      </c>
      <c r="V86" s="143" t="str">
        <f t="shared" si="65"/>
        <v>30%</v>
      </c>
      <c r="W86" s="142" t="s">
        <v>19</v>
      </c>
      <c r="X86" s="142" t="s">
        <v>23</v>
      </c>
      <c r="Y86" s="142" t="s">
        <v>119</v>
      </c>
      <c r="Z86" s="144">
        <f>IFERROR(IF(AND(S85="Probabilidad",S86="Probabilidad"),(AB85-(+AB85*V86)),IF(AND(S85="Impacto",S86="Probabilidad"),(AB84-(+AB84*V86)),IF(S86="Impacto",AB85,""))),"")</f>
        <v>0.1764</v>
      </c>
      <c r="AA86" s="162" t="str">
        <f t="shared" si="54"/>
        <v>Muy Baja</v>
      </c>
      <c r="AB86" s="143">
        <f t="shared" si="66"/>
        <v>0.1764</v>
      </c>
      <c r="AC86" s="162" t="str">
        <f t="shared" si="56"/>
        <v>Catastrófico</v>
      </c>
      <c r="AD86" s="143">
        <f>IFERROR(IF(AND(S85="Impacto",S86="Impacto"),(AD85-(+AD85*V86)),IF(AND(S85="Probabilidad",S86="Impacto"),(AD84-(+AD84*V86)),IF(S86="Probabilidad",AD85,""))),"")</f>
        <v>1</v>
      </c>
      <c r="AE86" s="163" t="str">
        <f t="shared" si="67"/>
        <v>Extremo</v>
      </c>
      <c r="AF86" s="172"/>
      <c r="AG86" s="166" t="s">
        <v>417</v>
      </c>
      <c r="AH86" s="166" t="s">
        <v>572</v>
      </c>
      <c r="AI86" s="262">
        <v>44404</v>
      </c>
      <c r="AJ86" s="173" t="s">
        <v>566</v>
      </c>
      <c r="AK86" s="166" t="s">
        <v>582</v>
      </c>
      <c r="AL86" s="166" t="s">
        <v>41</v>
      </c>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row>
    <row r="87" spans="1:70" ht="62.25" customHeight="1" x14ac:dyDescent="0.3">
      <c r="A87" s="319"/>
      <c r="B87" s="318"/>
      <c r="C87" s="319"/>
      <c r="D87" s="303"/>
      <c r="E87" s="303"/>
      <c r="F87" s="303"/>
      <c r="G87" s="320"/>
      <c r="H87" s="303"/>
      <c r="I87" s="362"/>
      <c r="J87" s="321"/>
      <c r="K87" s="322"/>
      <c r="L87" s="347"/>
      <c r="M87" s="310">
        <f>IF(NOT(ISERROR(MATCH(L87,_xlfn.ANCHORARRAY(G95),0))),#REF!&amp;"Por favor no seleccionar los criterios de impacto",L87)</f>
        <v>0</v>
      </c>
      <c r="N87" s="321"/>
      <c r="O87" s="322"/>
      <c r="P87" s="309"/>
      <c r="Q87" s="140">
        <v>4</v>
      </c>
      <c r="R87" s="157" t="s">
        <v>419</v>
      </c>
      <c r="S87" s="141" t="str">
        <f t="shared" ref="S87:S98" si="68">IF(OR(T87="Preventivo",T87="Detectivo"),"Probabilidad",IF(T87="Correctivo","Impacto",""))</f>
        <v>Impacto</v>
      </c>
      <c r="T87" s="142" t="s">
        <v>16</v>
      </c>
      <c r="U87" s="142" t="s">
        <v>9</v>
      </c>
      <c r="V87" s="143" t="str">
        <f t="shared" si="65"/>
        <v>25%</v>
      </c>
      <c r="W87" s="142" t="s">
        <v>19</v>
      </c>
      <c r="X87" s="142" t="s">
        <v>23</v>
      </c>
      <c r="Y87" s="142" t="s">
        <v>119</v>
      </c>
      <c r="Z87" s="144">
        <f t="shared" ref="Z87:Z89" si="69">IFERROR(IF(AND(S86="Probabilidad",S87="Probabilidad"),(AB86-(+AB86*V87)),IF(AND(S86="Impacto",S87="Probabilidad"),(AB85-(+AB85*V87)),IF(S87="Impacto",AB86,""))),"")</f>
        <v>0.1764</v>
      </c>
      <c r="AA87" s="162" t="str">
        <f t="shared" si="54"/>
        <v>Muy Baja</v>
      </c>
      <c r="AB87" s="143">
        <f t="shared" si="66"/>
        <v>0.1764</v>
      </c>
      <c r="AC87" s="162" t="str">
        <f t="shared" si="56"/>
        <v>Mayor</v>
      </c>
      <c r="AD87" s="143">
        <f t="shared" ref="AD87:AD89" si="70">IFERROR(IF(AND(S86="Impacto",S87="Impacto"),(AD86-(+AD86*V87)),IF(AND(S86="Probabilidad",S87="Impacto"),(AD85-(+AD85*V87)),IF(S87="Probabilidad",AD86,""))),"")</f>
        <v>0.75</v>
      </c>
      <c r="AE87" s="163" t="str">
        <f>IFERROR(IF(OR(AND(AA87="Muy Baja",AC87="Leve"),AND(AA87="Muy Baja",AC87="Menor"),AND(AA87="Baja",AC87="Leve")),"Bajo",IF(OR(AND(AA87="Muy baja",AC87="Moderado"),AND(AA87="Baja",AC87="Menor"),AND(AA87="Baja",AC87="Moderado"),AND(AA87="Media",AC87="Leve"),AND(AA87="Media",AC87="Menor"),AND(AA87="Media",AC87="Moderado"),AND(AA87="Alta",AC87="Leve"),AND(AA87="Alta",AC87="Menor")),"Moderado",IF(OR(AND(AA87="Muy Baja",AC87="Mayor"),AND(AA87="Baja",AC87="Mayor"),AND(AA87="Media",AC87="Mayor"),AND(AA87="Alta",AC87="Moderado"),AND(AA87="Alta",AC87="Mayor"),AND(AA87="Muy Alta",AC87="Leve"),AND(AA87="Muy Alta",AC87="Menor"),AND(AA87="Muy Alta",AC87="Moderado"),AND(AA87="Muy Alta",AC87="Mayor")),"Alto",IF(OR(AND(AA87="Muy Baja",AC87="Catastrófico"),AND(AA87="Baja",AC87="Catastrófico"),AND(AA87="Media",AC87="Catastrófico"),AND(AA87="Alta",AC87="Catastrófico"),AND(AA87="Muy Alta",AC87="Catastrófico")),"Extremo","")))),"")</f>
        <v>Alto</v>
      </c>
      <c r="AF87" s="172"/>
      <c r="AG87" s="166" t="s">
        <v>409</v>
      </c>
      <c r="AH87" s="166" t="s">
        <v>572</v>
      </c>
      <c r="AI87" s="262">
        <v>44404</v>
      </c>
      <c r="AJ87" s="173" t="s">
        <v>566</v>
      </c>
      <c r="AK87" s="166" t="s">
        <v>583</v>
      </c>
      <c r="AL87" s="166" t="s">
        <v>41</v>
      </c>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row>
    <row r="88" spans="1:70" ht="81" customHeight="1" x14ac:dyDescent="0.3">
      <c r="A88" s="319"/>
      <c r="B88" s="318"/>
      <c r="C88" s="319"/>
      <c r="D88" s="303"/>
      <c r="E88" s="303"/>
      <c r="F88" s="303"/>
      <c r="G88" s="320"/>
      <c r="H88" s="303"/>
      <c r="I88" s="362"/>
      <c r="J88" s="321"/>
      <c r="K88" s="322"/>
      <c r="L88" s="347"/>
      <c r="M88" s="310">
        <f>IF(NOT(ISERROR(MATCH(L88,_xlfn.ANCHORARRAY(#REF!),0))),#REF!&amp;"Por favor no seleccionar los criterios de impacto",L88)</f>
        <v>0</v>
      </c>
      <c r="N88" s="321"/>
      <c r="O88" s="322"/>
      <c r="P88" s="309"/>
      <c r="Q88" s="140">
        <v>5</v>
      </c>
      <c r="R88" s="157" t="s">
        <v>420</v>
      </c>
      <c r="S88" s="141" t="str">
        <f t="shared" si="68"/>
        <v>Impacto</v>
      </c>
      <c r="T88" s="142" t="s">
        <v>16</v>
      </c>
      <c r="U88" s="142" t="s">
        <v>9</v>
      </c>
      <c r="V88" s="143" t="str">
        <f t="shared" si="65"/>
        <v>25%</v>
      </c>
      <c r="W88" s="142" t="s">
        <v>19</v>
      </c>
      <c r="X88" s="142" t="s">
        <v>23</v>
      </c>
      <c r="Y88" s="142" t="s">
        <v>119</v>
      </c>
      <c r="Z88" s="144">
        <f t="shared" si="69"/>
        <v>0.1764</v>
      </c>
      <c r="AA88" s="162" t="str">
        <f t="shared" si="54"/>
        <v>Muy Baja</v>
      </c>
      <c r="AB88" s="143">
        <f t="shared" si="66"/>
        <v>0.1764</v>
      </c>
      <c r="AC88" s="162" t="str">
        <f t="shared" si="56"/>
        <v>Moderado</v>
      </c>
      <c r="AD88" s="143">
        <f t="shared" si="70"/>
        <v>0.5625</v>
      </c>
      <c r="AE88" s="163" t="str">
        <f t="shared" ref="AE88:AE89" si="71">IFERROR(IF(OR(AND(AA88="Muy Baja",AC88="Leve"),AND(AA88="Muy Baja",AC88="Menor"),AND(AA88="Baja",AC88="Leve")),"Bajo",IF(OR(AND(AA88="Muy baja",AC88="Moderado"),AND(AA88="Baja",AC88="Menor"),AND(AA88="Baja",AC88="Moderado"),AND(AA88="Media",AC88="Leve"),AND(AA88="Media",AC88="Menor"),AND(AA88="Media",AC88="Moderado"),AND(AA88="Alta",AC88="Leve"),AND(AA88="Alta",AC88="Menor")),"Moderado",IF(OR(AND(AA88="Muy Baja",AC88="Mayor"),AND(AA88="Baja",AC88="Mayor"),AND(AA88="Media",AC88="Mayor"),AND(AA88="Alta",AC88="Moderado"),AND(AA88="Alta",AC88="Mayor"),AND(AA88="Muy Alta",AC88="Leve"),AND(AA88="Muy Alta",AC88="Menor"),AND(AA88="Muy Alta",AC88="Moderado"),AND(AA88="Muy Alta",AC88="Mayor")),"Alto",IF(OR(AND(AA88="Muy Baja",AC88="Catastrófico"),AND(AA88="Baja",AC88="Catastrófico"),AND(AA88="Media",AC88="Catastrófico"),AND(AA88="Alta",AC88="Catastrófico"),AND(AA88="Muy Alta",AC88="Catastrófico")),"Extremo","")))),"")</f>
        <v>Moderado</v>
      </c>
      <c r="AF88" s="172"/>
      <c r="AG88" s="166" t="s">
        <v>421</v>
      </c>
      <c r="AH88" s="166" t="s">
        <v>572</v>
      </c>
      <c r="AI88" s="262">
        <v>44404</v>
      </c>
      <c r="AJ88" s="173" t="s">
        <v>566</v>
      </c>
      <c r="AK88" s="166" t="s">
        <v>584</v>
      </c>
      <c r="AL88" s="166" t="s">
        <v>41</v>
      </c>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row>
    <row r="89" spans="1:70" ht="87" customHeight="1" x14ac:dyDescent="0.3">
      <c r="A89" s="319"/>
      <c r="B89" s="318"/>
      <c r="C89" s="319"/>
      <c r="D89" s="303"/>
      <c r="E89" s="303"/>
      <c r="F89" s="303"/>
      <c r="G89" s="320"/>
      <c r="H89" s="303"/>
      <c r="I89" s="362"/>
      <c r="J89" s="321"/>
      <c r="K89" s="322"/>
      <c r="L89" s="347"/>
      <c r="M89" s="310">
        <f>IF(NOT(ISERROR(MATCH(L89,_xlfn.ANCHORARRAY(#REF!),0))),K96&amp;"Por favor no seleccionar los criterios de impacto",L89)</f>
        <v>0</v>
      </c>
      <c r="N89" s="321"/>
      <c r="O89" s="322"/>
      <c r="P89" s="309"/>
      <c r="Q89" s="140">
        <v>6</v>
      </c>
      <c r="R89" s="157" t="s">
        <v>422</v>
      </c>
      <c r="S89" s="141" t="str">
        <f t="shared" si="68"/>
        <v>Probabilidad</v>
      </c>
      <c r="T89" s="142" t="s">
        <v>15</v>
      </c>
      <c r="U89" s="142" t="s">
        <v>9</v>
      </c>
      <c r="V89" s="143" t="str">
        <f t="shared" si="65"/>
        <v>30%</v>
      </c>
      <c r="W89" s="142" t="s">
        <v>19</v>
      </c>
      <c r="X89" s="142" t="s">
        <v>23</v>
      </c>
      <c r="Y89" s="142" t="s">
        <v>119</v>
      </c>
      <c r="Z89" s="144">
        <f t="shared" si="69"/>
        <v>0.12348000000000001</v>
      </c>
      <c r="AA89" s="162" t="str">
        <f t="shared" si="54"/>
        <v>Muy Baja</v>
      </c>
      <c r="AB89" s="143">
        <f t="shared" si="66"/>
        <v>0.12348000000000001</v>
      </c>
      <c r="AC89" s="162" t="str">
        <f t="shared" si="56"/>
        <v>Moderado</v>
      </c>
      <c r="AD89" s="143">
        <f t="shared" si="70"/>
        <v>0.5625</v>
      </c>
      <c r="AE89" s="163" t="str">
        <f t="shared" si="71"/>
        <v>Moderado</v>
      </c>
      <c r="AF89" s="172"/>
      <c r="AG89" s="166" t="s">
        <v>423</v>
      </c>
      <c r="AH89" s="166" t="s">
        <v>573</v>
      </c>
      <c r="AI89" s="262">
        <v>44404</v>
      </c>
      <c r="AJ89" s="173" t="s">
        <v>566</v>
      </c>
      <c r="AK89" s="166" t="s">
        <v>585</v>
      </c>
      <c r="AL89" s="166" t="s">
        <v>41</v>
      </c>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row>
    <row r="90" spans="1:70" ht="110.25" customHeight="1" x14ac:dyDescent="0.3">
      <c r="A90" s="319">
        <v>34</v>
      </c>
      <c r="B90" s="318"/>
      <c r="C90" s="319">
        <v>4</v>
      </c>
      <c r="D90" s="303" t="s">
        <v>133</v>
      </c>
      <c r="E90" s="303" t="s">
        <v>424</v>
      </c>
      <c r="F90" s="303" t="s">
        <v>425</v>
      </c>
      <c r="G90" s="320" t="s">
        <v>426</v>
      </c>
      <c r="H90" s="303" t="s">
        <v>123</v>
      </c>
      <c r="I90" s="362">
        <v>20</v>
      </c>
      <c r="J90" s="321" t="str">
        <f>IF(I90&lt;=0,"",IF(I90&lt;=2,"Muy Baja",IF(I90&lt;=24,"Baja",IF(I90&lt;=500,"Media",IF(I90&lt;=5000,"Alta","Muy Alta")))))</f>
        <v>Baja</v>
      </c>
      <c r="K90" s="322">
        <f>IF(J90="","",IF(J90="Muy Baja",0.2,IF(J90="Baja",0.4,IF(J90="Media",0.6,IF(J90="Alta",0.8,IF(J90="Muy Alta",1,))))))</f>
        <v>0.4</v>
      </c>
      <c r="L90" s="347" t="s">
        <v>151</v>
      </c>
      <c r="M90" s="310" t="str">
        <f>IF(NOT(ISERROR(MATCH(L90,'[8]Tabla Impacto'!$B$221:$B$223,0))),'[8]Tabla Impacto'!$F$223&amp;"Por favor no seleccionar los criterios de impacto(Afectación Económica o presupuestal y Pérdida Reputacional)",L90)</f>
        <v xml:space="preserve">     El riesgo afecta la imagen de de la entidad con efecto publicitario sostenido a nivel de sector administrativo, nivel departamental o municipal</v>
      </c>
      <c r="N90" s="321" t="str">
        <f>IF(OR(M90='[8]Tabla Impacto'!$C$11,M90='[8]Tabla Impacto'!$D$11),"Leve",IF(OR(M90='[8]Tabla Impacto'!$C$12,M90='[8]Tabla Impacto'!$D$12),"Menor",IF(OR(M90='[8]Tabla Impacto'!$C$13,M90='[8]Tabla Impacto'!$D$13),"Moderado",IF(OR(M90='[8]Tabla Impacto'!$C$14,M90='[8]Tabla Impacto'!$D$14),"Mayor",IF(OR(M90='[8]Tabla Impacto'!$C$15,M90='[8]Tabla Impacto'!$D$15),"Catastrófico","")))))</f>
        <v>Mayor</v>
      </c>
      <c r="O90" s="322">
        <f>IF(N90="","",IF(N90="Leve",0.2,IF(N90="Menor",0.4,IF(N90="Moderado",0.6,IF(N90="Mayor",0.8,IF(N90="Catastrófico",1,))))))</f>
        <v>0.8</v>
      </c>
      <c r="P90" s="309" t="str">
        <f>IF(OR(AND(J90="Muy Baja",N90="Leve"),AND(J90="Muy Baja",N90="Menor"),AND(J90="Baja",N90="Leve")),"Bajo",IF(OR(AND(J90="Muy baja",N90="Moderado"),AND(J90="Baja",N90="Menor"),AND(J90="Baja",N90="Moderado"),AND(J90="Media",N90="Leve"),AND(J90="Media",N90="Menor"),AND(J90="Media",N90="Moderado"),AND(J90="Alta",N90="Leve"),AND(J90="Alta",N90="Menor")),"Moderado",IF(OR(AND(J90="Muy Baja",N90="Mayor"),AND(J90="Baja",N90="Mayor"),AND(J90="Media",N90="Mayor"),AND(J90="Alta",N90="Moderado"),AND(J90="Alta",N90="Mayor"),AND(J90="Muy Alta",N90="Leve"),AND(J90="Muy Alta",N90="Menor"),AND(J90="Muy Alta",N90="Moderado"),AND(J90="Muy Alta",N90="Mayor")),"Alto",IF(OR(AND(J90="Muy Baja",N90="Catastrófico"),AND(J90="Baja",N90="Catastrófico"),AND(J90="Media",N90="Catastrófico"),AND(J90="Alta",N90="Catastrófico"),AND(J90="Muy Alta",N90="Catastrófico")),"Extremo",""))))</f>
        <v>Alto</v>
      </c>
      <c r="Q90" s="140">
        <v>1</v>
      </c>
      <c r="R90" s="157" t="s">
        <v>427</v>
      </c>
      <c r="S90" s="141" t="str">
        <f t="shared" si="68"/>
        <v>Probabilidad</v>
      </c>
      <c r="T90" s="142" t="s">
        <v>14</v>
      </c>
      <c r="U90" s="142" t="s">
        <v>9</v>
      </c>
      <c r="V90" s="143" t="str">
        <f>IF(AND(T90="Preventivo",U90="Automático"),"50%",IF(AND(T90="Preventivo",U90="Manual"),"40%",IF(AND(T90="Detectivo",U90="Automático"),"40%",IF(AND(T90="Detectivo",U90="Manual"),"30%",IF(AND(T90="Correctivo",U90="Automático"),"35%",IF(AND(T90="Correctivo",U90="Manual"),"25%",""))))))</f>
        <v>40%</v>
      </c>
      <c r="W90" s="142" t="s">
        <v>19</v>
      </c>
      <c r="X90" s="142" t="s">
        <v>23</v>
      </c>
      <c r="Y90" s="142" t="s">
        <v>119</v>
      </c>
      <c r="Z90" s="144">
        <f>IFERROR(IF(S90="Probabilidad",(K90-(+K90*V90)),IF(S90="Impacto",K90,"")),"")</f>
        <v>0.24</v>
      </c>
      <c r="AA90" s="162" t="str">
        <f>IFERROR(IF(Z90="","",IF(Z90&lt;=0.2,"Muy Baja",IF(Z90&lt;=0.4,"Baja",IF(Z90&lt;=0.6,"Media",IF(Z90&lt;=0.8,"Alta","Muy Alta"))))),"")</f>
        <v>Baja</v>
      </c>
      <c r="AB90" s="143">
        <f>+Z90</f>
        <v>0.24</v>
      </c>
      <c r="AC90" s="162" t="str">
        <f>IFERROR(IF(AD90="","",IF(AD90&lt;=0.2,"Leve",IF(AD90&lt;=0.4,"Menor",IF(AD90&lt;=0.6,"Moderado",IF(AD90&lt;=0.8,"Mayor","Catastrófico"))))),"")</f>
        <v>Mayor</v>
      </c>
      <c r="AD90" s="143">
        <f>IFERROR(IF(S90="Impacto",(O90-(+O90*V90)),IF(S90="Probabilidad",O90,"")),"")</f>
        <v>0.8</v>
      </c>
      <c r="AE90" s="163" t="str">
        <f>IFERROR(IF(OR(AND(AA90="Muy Baja",AC90="Leve"),AND(AA90="Muy Baja",AC90="Menor"),AND(AA90="Baja",AC90="Leve")),"Bajo",IF(OR(AND(AA90="Muy baja",AC90="Moderado"),AND(AA90="Baja",AC90="Menor"),AND(AA90="Baja",AC90="Moderado"),AND(AA90="Media",AC90="Leve"),AND(AA90="Media",AC90="Menor"),AND(AA90="Media",AC90="Moderado"),AND(AA90="Alta",AC90="Leve"),AND(AA90="Alta",AC90="Menor")),"Moderado",IF(OR(AND(AA90="Muy Baja",AC90="Mayor"),AND(AA90="Baja",AC90="Mayor"),AND(AA90="Media",AC90="Mayor"),AND(AA90="Alta",AC90="Moderado"),AND(AA90="Alta",AC90="Mayor"),AND(AA90="Muy Alta",AC90="Leve"),AND(AA90="Muy Alta",AC90="Menor"),AND(AA90="Muy Alta",AC90="Moderado"),AND(AA90="Muy Alta",AC90="Mayor")),"Alto",IF(OR(AND(AA90="Muy Baja",AC90="Catastrófico"),AND(AA90="Baja",AC90="Catastrófico"),AND(AA90="Media",AC90="Catastrófico"),AND(AA90="Alta",AC90="Catastrófico"),AND(AA90="Muy Alta",AC90="Catastrófico")),"Extremo","")))),"")</f>
        <v>Alto</v>
      </c>
      <c r="AF90" s="172"/>
      <c r="AG90" s="166" t="s">
        <v>428</v>
      </c>
      <c r="AH90" s="166" t="s">
        <v>429</v>
      </c>
      <c r="AI90" s="262">
        <v>44404</v>
      </c>
      <c r="AJ90" s="173" t="s">
        <v>566</v>
      </c>
      <c r="AK90" s="166" t="s">
        <v>586</v>
      </c>
      <c r="AL90" s="166" t="s">
        <v>41</v>
      </c>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row>
    <row r="91" spans="1:70" ht="83.25" customHeight="1" x14ac:dyDescent="0.3">
      <c r="A91" s="319"/>
      <c r="B91" s="318"/>
      <c r="C91" s="319"/>
      <c r="D91" s="303"/>
      <c r="E91" s="303"/>
      <c r="F91" s="303"/>
      <c r="G91" s="320"/>
      <c r="H91" s="303"/>
      <c r="I91" s="362"/>
      <c r="J91" s="321"/>
      <c r="K91" s="322"/>
      <c r="L91" s="347"/>
      <c r="M91" s="310">
        <f>IF(NOT(ISERROR(MATCH(L91,_xlfn.ANCHORARRAY(G96),0))),K98&amp;"Por favor no seleccionar los criterios de impacto",L91)</f>
        <v>0</v>
      </c>
      <c r="N91" s="321"/>
      <c r="O91" s="322"/>
      <c r="P91" s="309"/>
      <c r="Q91" s="140">
        <v>2</v>
      </c>
      <c r="R91" s="157" t="s">
        <v>430</v>
      </c>
      <c r="S91" s="141" t="str">
        <f t="shared" si="68"/>
        <v>Probabilidad</v>
      </c>
      <c r="T91" s="142" t="s">
        <v>14</v>
      </c>
      <c r="U91" s="142" t="s">
        <v>9</v>
      </c>
      <c r="V91" s="143" t="str">
        <f t="shared" ref="V91:V92" si="72">IF(AND(T91="Preventivo",U91="Automático"),"50%",IF(AND(T91="Preventivo",U91="Manual"),"40%",IF(AND(T91="Detectivo",U91="Automático"),"40%",IF(AND(T91="Detectivo",U91="Manual"),"30%",IF(AND(T91="Correctivo",U91="Automático"),"35%",IF(AND(T91="Correctivo",U91="Manual"),"25%",""))))))</f>
        <v>40%</v>
      </c>
      <c r="W91" s="142" t="s">
        <v>19</v>
      </c>
      <c r="X91" s="142" t="s">
        <v>23</v>
      </c>
      <c r="Y91" s="142" t="s">
        <v>119</v>
      </c>
      <c r="Z91" s="144">
        <f>IFERROR(IF(AND(S90="Probabilidad",S91="Probabilidad"),(AB90-(+AB90*V91)),IF(S91="Probabilidad",(K90-(+K90*V91)),IF(S91="Impacto",AB90,""))),"")</f>
        <v>0.14399999999999999</v>
      </c>
      <c r="AA91" s="162" t="str">
        <f t="shared" si="54"/>
        <v>Muy Baja</v>
      </c>
      <c r="AB91" s="143">
        <f t="shared" ref="AB91:AB92" si="73">+Z91</f>
        <v>0.14399999999999999</v>
      </c>
      <c r="AC91" s="162" t="str">
        <f t="shared" si="56"/>
        <v>Catastrófico</v>
      </c>
      <c r="AD91" s="143">
        <f>IFERROR(IF(AND(S90="Impacto",S91="Impacto"),(AD84-(+AD84*V91)),IF(S91="Impacto",($O$51-(+$O$51*V91)),IF(S91="Probabilidad",AD84,""))),"")</f>
        <v>1</v>
      </c>
      <c r="AE91" s="163" t="str">
        <f t="shared" ref="AE91:AE92" si="74">IFERROR(IF(OR(AND(AA91="Muy Baja",AC91="Leve"),AND(AA91="Muy Baja",AC91="Menor"),AND(AA91="Baja",AC91="Leve")),"Bajo",IF(OR(AND(AA91="Muy baja",AC91="Moderado"),AND(AA91="Baja",AC91="Menor"),AND(AA91="Baja",AC91="Moderado"),AND(AA91="Media",AC91="Leve"),AND(AA91="Media",AC91="Menor"),AND(AA91="Media",AC91="Moderado"),AND(AA91="Alta",AC91="Leve"),AND(AA91="Alta",AC91="Menor")),"Moderado",IF(OR(AND(AA91="Muy Baja",AC91="Mayor"),AND(AA91="Baja",AC91="Mayor"),AND(AA91="Media",AC91="Mayor"),AND(AA91="Alta",AC91="Moderado"),AND(AA91="Alta",AC91="Mayor"),AND(AA91="Muy Alta",AC91="Leve"),AND(AA91="Muy Alta",AC91="Menor"),AND(AA91="Muy Alta",AC91="Moderado"),AND(AA91="Muy Alta",AC91="Mayor")),"Alto",IF(OR(AND(AA91="Muy Baja",AC91="Catastrófico"),AND(AA91="Baja",AC91="Catastrófico"),AND(AA91="Media",AC91="Catastrófico"),AND(AA91="Alta",AC91="Catastrófico"),AND(AA91="Muy Alta",AC91="Catastrófico")),"Extremo","")))),"")</f>
        <v>Extremo</v>
      </c>
      <c r="AF91" s="172"/>
      <c r="AG91" s="166" t="s">
        <v>431</v>
      </c>
      <c r="AH91" s="166" t="s">
        <v>429</v>
      </c>
      <c r="AI91" s="262">
        <v>44404</v>
      </c>
      <c r="AJ91" s="173" t="s">
        <v>566</v>
      </c>
      <c r="AK91" s="166" t="s">
        <v>586</v>
      </c>
      <c r="AL91" s="166" t="s">
        <v>41</v>
      </c>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row>
    <row r="92" spans="1:70" ht="80.25" customHeight="1" x14ac:dyDescent="0.3">
      <c r="A92" s="319"/>
      <c r="B92" s="318"/>
      <c r="C92" s="319"/>
      <c r="D92" s="303"/>
      <c r="E92" s="303"/>
      <c r="F92" s="303"/>
      <c r="G92" s="320"/>
      <c r="H92" s="303"/>
      <c r="I92" s="362"/>
      <c r="J92" s="321"/>
      <c r="K92" s="322"/>
      <c r="L92" s="347"/>
      <c r="M92" s="310">
        <f>IF(NOT(ISERROR(MATCH(L92,_xlfn.ANCHORARRAY(G97),0))),#REF!&amp;"Por favor no seleccionar los criterios de impacto",L92)</f>
        <v>0</v>
      </c>
      <c r="N92" s="321"/>
      <c r="O92" s="322"/>
      <c r="P92" s="309"/>
      <c r="Q92" s="140">
        <v>3</v>
      </c>
      <c r="R92" s="152" t="s">
        <v>432</v>
      </c>
      <c r="S92" s="141" t="str">
        <f t="shared" si="68"/>
        <v>Probabilidad</v>
      </c>
      <c r="T92" s="142" t="s">
        <v>14</v>
      </c>
      <c r="U92" s="142" t="s">
        <v>9</v>
      </c>
      <c r="V92" s="143" t="str">
        <f t="shared" si="72"/>
        <v>40%</v>
      </c>
      <c r="W92" s="142" t="s">
        <v>19</v>
      </c>
      <c r="X92" s="142" t="s">
        <v>23</v>
      </c>
      <c r="Y92" s="142" t="s">
        <v>119</v>
      </c>
      <c r="Z92" s="144">
        <f>IFERROR(IF(AND(S91="Probabilidad",S92="Probabilidad"),(AB91-(+AB91*V92)),IF(AND(S91="Impacto",S92="Probabilidad"),(AB90-(+AB90*V92)),IF(S92="Impacto",AB91,""))),"")</f>
        <v>8.6399999999999991E-2</v>
      </c>
      <c r="AA92" s="162" t="str">
        <f t="shared" si="54"/>
        <v>Muy Baja</v>
      </c>
      <c r="AB92" s="143">
        <f t="shared" si="73"/>
        <v>8.6399999999999991E-2</v>
      </c>
      <c r="AC92" s="162" t="str">
        <f t="shared" si="56"/>
        <v>Catastrófico</v>
      </c>
      <c r="AD92" s="143">
        <f>IFERROR(IF(AND(S91="Impacto",S92="Impacto"),(AD91-(+AD91*V92)),IF(AND(S91="Probabilidad",S92="Impacto"),(AD90-(+AD90*V92)),IF(S92="Probabilidad",AD91,""))),"")</f>
        <v>1</v>
      </c>
      <c r="AE92" s="163" t="str">
        <f t="shared" si="74"/>
        <v>Extremo</v>
      </c>
      <c r="AF92" s="172"/>
      <c r="AG92" s="180" t="s">
        <v>433</v>
      </c>
      <c r="AH92" s="166" t="s">
        <v>429</v>
      </c>
      <c r="AI92" s="262">
        <v>44404</v>
      </c>
      <c r="AJ92" s="173" t="s">
        <v>566</v>
      </c>
      <c r="AK92" s="166" t="s">
        <v>586</v>
      </c>
      <c r="AL92" s="166" t="s">
        <v>41</v>
      </c>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row>
    <row r="93" spans="1:70" ht="123.75" customHeight="1" x14ac:dyDescent="0.3">
      <c r="A93" s="319">
        <v>35</v>
      </c>
      <c r="B93" s="318"/>
      <c r="C93" s="319">
        <v>5</v>
      </c>
      <c r="D93" s="303" t="s">
        <v>133</v>
      </c>
      <c r="E93" s="303" t="s">
        <v>434</v>
      </c>
      <c r="F93" s="303" t="s">
        <v>435</v>
      </c>
      <c r="G93" s="320" t="s">
        <v>436</v>
      </c>
      <c r="H93" s="303" t="s">
        <v>123</v>
      </c>
      <c r="I93" s="362">
        <v>120</v>
      </c>
      <c r="J93" s="321" t="str">
        <f>IF(I93&lt;=0,"",IF(I93&lt;=2,"Muy Baja",IF(I93&lt;=24,"Baja",IF(I93&lt;=500,"Media",IF(I93&lt;=5000,"Alta","Muy Alta")))))</f>
        <v>Media</v>
      </c>
      <c r="K93" s="322">
        <f>IF(J93="","",IF(J93="Muy Baja",0.2,IF(J93="Baja",0.4,IF(J93="Media",0.6,IF(J93="Alta",0.8,IF(J93="Muy Alta",1,))))))</f>
        <v>0.6</v>
      </c>
      <c r="L93" s="347" t="s">
        <v>152</v>
      </c>
      <c r="M93" s="310" t="str">
        <f>IF(NOT(ISERROR(MATCH(L93,'[8]Tabla Impacto'!$B$221:$B$223,0))),'[8]Tabla Impacto'!$F$223&amp;"Por favor no seleccionar los criterios de impacto(Afectación Económica o presupuestal y Pérdida Reputacional)",L93)</f>
        <v xml:space="preserve">     El riesgo afecta la imagen de la entidad a nivel nacional, con efecto publicitarios sostenible a nivel país</v>
      </c>
      <c r="N93" s="321" t="str">
        <f>IF(OR(M93='[8]Tabla Impacto'!$C$11,M93='[8]Tabla Impacto'!$D$11),"Leve",IF(OR(M93='[8]Tabla Impacto'!$C$12,M93='[8]Tabla Impacto'!$D$12),"Menor",IF(OR(M93='[8]Tabla Impacto'!$C$13,M93='[8]Tabla Impacto'!$D$13),"Moderado",IF(OR(M93='[8]Tabla Impacto'!$C$14,M93='[8]Tabla Impacto'!$D$14),"Mayor",IF(OR(M93='[8]Tabla Impacto'!$C$15,M93='[8]Tabla Impacto'!$D$15),"Catastrófico","")))))</f>
        <v>Catastrófico</v>
      </c>
      <c r="O93" s="322">
        <f>IF(N93="","",IF(N93="Leve",0.2,IF(N93="Menor",0.4,IF(N93="Moderado",0.6,IF(N93="Mayor",0.8,IF(N93="Catastrófico",1,))))))</f>
        <v>1</v>
      </c>
      <c r="P93" s="309" t="str">
        <f>IF(OR(AND(J93="Muy Baja",N93="Leve"),AND(J93="Muy Baja",N93="Menor"),AND(J93="Baja",N93="Leve")),"Bajo",IF(OR(AND(J93="Muy baja",N93="Moderado"),AND(J93="Baja",N93="Menor"),AND(J93="Baja",N93="Moderado"),AND(J93="Media",N93="Leve"),AND(J93="Media",N93="Menor"),AND(J93="Media",N93="Moderado"),AND(J93="Alta",N93="Leve"),AND(J93="Alta",N93="Menor")),"Moderado",IF(OR(AND(J93="Muy Baja",N93="Mayor"),AND(J93="Baja",N93="Mayor"),AND(J93="Media",N93="Mayor"),AND(J93="Alta",N93="Moderado"),AND(J93="Alta",N93="Mayor"),AND(J93="Muy Alta",N93="Leve"),AND(J93="Muy Alta",N93="Menor"),AND(J93="Muy Alta",N93="Moderado"),AND(J93="Muy Alta",N93="Mayor")),"Alto",IF(OR(AND(J93="Muy Baja",N93="Catastrófico"),AND(J93="Baja",N93="Catastrófico"),AND(J93="Media",N93="Catastrófico"),AND(J93="Alta",N93="Catastrófico"),AND(J93="Muy Alta",N93="Catastrófico")),"Extremo",""))))</f>
        <v>Extremo</v>
      </c>
      <c r="Q93" s="140">
        <v>1</v>
      </c>
      <c r="R93" s="157" t="s">
        <v>437</v>
      </c>
      <c r="S93" s="141" t="str">
        <f t="shared" si="68"/>
        <v>Probabilidad</v>
      </c>
      <c r="T93" s="142" t="s">
        <v>15</v>
      </c>
      <c r="U93" s="142" t="s">
        <v>9</v>
      </c>
      <c r="V93" s="143" t="str">
        <f>IF(AND(T93="Preventivo",U93="Automático"),"50%",IF(AND(T93="Preventivo",U93="Manual"),"40%",IF(AND(T93="Detectivo",U93="Automático"),"40%",IF(AND(T93="Detectivo",U93="Manual"),"30%",IF(AND(T93="Correctivo",U93="Automático"),"35%",IF(AND(T93="Correctivo",U93="Manual"),"25%",""))))))</f>
        <v>30%</v>
      </c>
      <c r="W93" s="142" t="s">
        <v>19</v>
      </c>
      <c r="X93" s="142" t="s">
        <v>22</v>
      </c>
      <c r="Y93" s="142" t="s">
        <v>119</v>
      </c>
      <c r="Z93" s="144">
        <f>IFERROR(IF(S93="Probabilidad",(K93-(+K93*V93)),IF(S93="Impacto",K93,"")),"")</f>
        <v>0.42</v>
      </c>
      <c r="AA93" s="162" t="str">
        <f>IFERROR(IF(Z93="","",IF(Z93&lt;=0.2,"Muy Baja",IF(Z93&lt;=0.4,"Baja",IF(Z93&lt;=0.6,"Media",IF(Z93&lt;=0.8,"Alta","Muy Alta"))))),"")</f>
        <v>Media</v>
      </c>
      <c r="AB93" s="143">
        <f>+Z93</f>
        <v>0.42</v>
      </c>
      <c r="AC93" s="162" t="str">
        <f>IFERROR(IF(AD93="","",IF(AD93&lt;=0.2,"Leve",IF(AD93&lt;=0.4,"Menor",IF(AD93&lt;=0.6,"Moderado",IF(AD93&lt;=0.8,"Mayor","Catastrófico"))))),"")</f>
        <v>Catastrófico</v>
      </c>
      <c r="AD93" s="143">
        <f>IFERROR(IF(S93="Impacto",(O93-(+O93*V93)),IF(S93="Probabilidad",O93,"")),"")</f>
        <v>1</v>
      </c>
      <c r="AE93" s="163" t="str">
        <f>IFERROR(IF(OR(AND(AA93="Muy Baja",AC93="Leve"),AND(AA93="Muy Baja",AC93="Menor"),AND(AA93="Baja",AC93="Leve")),"Bajo",IF(OR(AND(AA93="Muy baja",AC93="Moderado"),AND(AA93="Baja",AC93="Menor"),AND(AA93="Baja",AC93="Moderado"),AND(AA93="Media",AC93="Leve"),AND(AA93="Media",AC93="Menor"),AND(AA93="Media",AC93="Moderado"),AND(AA93="Alta",AC93="Leve"),AND(AA93="Alta",AC93="Menor")),"Moderado",IF(OR(AND(AA93="Muy Baja",AC93="Mayor"),AND(AA93="Baja",AC93="Mayor"),AND(AA93="Media",AC93="Mayor"),AND(AA93="Alta",AC93="Moderado"),AND(AA93="Alta",AC93="Mayor"),AND(AA93="Muy Alta",AC93="Leve"),AND(AA93="Muy Alta",AC93="Menor"),AND(AA93="Muy Alta",AC93="Moderado"),AND(AA93="Muy Alta",AC93="Mayor")),"Alto",IF(OR(AND(AA93="Muy Baja",AC93="Catastrófico"),AND(AA93="Baja",AC93="Catastrófico"),AND(AA93="Media",AC93="Catastrófico"),AND(AA93="Alta",AC93="Catastrófico"),AND(AA93="Muy Alta",AC93="Catastrófico")),"Extremo","")))),"")</f>
        <v>Extremo</v>
      </c>
      <c r="AF93" s="172"/>
      <c r="AG93" s="166" t="s">
        <v>438</v>
      </c>
      <c r="AH93" s="166" t="s">
        <v>573</v>
      </c>
      <c r="AI93" s="262">
        <v>44404</v>
      </c>
      <c r="AJ93" s="173" t="s">
        <v>566</v>
      </c>
      <c r="AK93" s="166" t="s">
        <v>587</v>
      </c>
      <c r="AL93" s="166" t="s">
        <v>41</v>
      </c>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row>
    <row r="94" spans="1:70" ht="86.25" customHeight="1" x14ac:dyDescent="0.3">
      <c r="A94" s="319"/>
      <c r="B94" s="318"/>
      <c r="C94" s="319"/>
      <c r="D94" s="303"/>
      <c r="E94" s="303"/>
      <c r="F94" s="303"/>
      <c r="G94" s="320"/>
      <c r="H94" s="303"/>
      <c r="I94" s="362"/>
      <c r="J94" s="321"/>
      <c r="K94" s="322"/>
      <c r="L94" s="347"/>
      <c r="M94" s="310">
        <f>IF(NOT(ISERROR(MATCH(L94,_xlfn.ANCHORARRAY(#REF!),0))),#REF!&amp;"Por favor no seleccionar los criterios de impacto",L94)</f>
        <v>0</v>
      </c>
      <c r="N94" s="321"/>
      <c r="O94" s="322"/>
      <c r="P94" s="309"/>
      <c r="Q94" s="140">
        <v>2</v>
      </c>
      <c r="R94" s="157" t="s">
        <v>439</v>
      </c>
      <c r="S94" s="141" t="str">
        <f t="shared" si="68"/>
        <v>Probabilidad</v>
      </c>
      <c r="T94" s="142" t="s">
        <v>15</v>
      </c>
      <c r="U94" s="142" t="s">
        <v>9</v>
      </c>
      <c r="V94" s="143" t="str">
        <f t="shared" ref="V94:V95" si="75">IF(AND(T94="Preventivo",U94="Automático"),"50%",IF(AND(T94="Preventivo",U94="Manual"),"40%",IF(AND(T94="Detectivo",U94="Automático"),"40%",IF(AND(T94="Detectivo",U94="Manual"),"30%",IF(AND(T94="Correctivo",U94="Automático"),"35%",IF(AND(T94="Correctivo",U94="Manual"),"25%",""))))))</f>
        <v>30%</v>
      </c>
      <c r="W94" s="142" t="s">
        <v>19</v>
      </c>
      <c r="X94" s="142" t="s">
        <v>22</v>
      </c>
      <c r="Y94" s="142" t="s">
        <v>119</v>
      </c>
      <c r="Z94" s="144">
        <f>IFERROR(IF(AND(S93="Probabilidad",S94="Probabilidad"),(AB93-(+AB93*V94)),IF(S94="Probabilidad",(K93-(+K93*V94)),IF(S94="Impacto",AB93,""))),"")</f>
        <v>0.29399999999999998</v>
      </c>
      <c r="AA94" s="162" t="str">
        <f t="shared" si="54"/>
        <v>Baja</v>
      </c>
      <c r="AB94" s="143">
        <f t="shared" ref="AB94:AB95" si="76">+Z94</f>
        <v>0.29399999999999998</v>
      </c>
      <c r="AC94" s="162" t="str">
        <f t="shared" si="56"/>
        <v>Mayor</v>
      </c>
      <c r="AD94" s="143">
        <f>IFERROR(IF(AND(S93="Impacto",S94="Impacto"),(AD90-(+AD90*V94)),IF(S94="Impacto",($O$54-(+$O$54*V94)),IF(S94="Probabilidad",AD90,""))),"")</f>
        <v>0.8</v>
      </c>
      <c r="AE94" s="163" t="str">
        <f t="shared" ref="AE94:AE95" si="77">IFERROR(IF(OR(AND(AA94="Muy Baja",AC94="Leve"),AND(AA94="Muy Baja",AC94="Menor"),AND(AA94="Baja",AC94="Leve")),"Bajo",IF(OR(AND(AA94="Muy baja",AC94="Moderado"),AND(AA94="Baja",AC94="Menor"),AND(AA94="Baja",AC94="Moderado"),AND(AA94="Media",AC94="Leve"),AND(AA94="Media",AC94="Menor"),AND(AA94="Media",AC94="Moderado"),AND(AA94="Alta",AC94="Leve"),AND(AA94="Alta",AC94="Menor")),"Moderado",IF(OR(AND(AA94="Muy Baja",AC94="Mayor"),AND(AA94="Baja",AC94="Mayor"),AND(AA94="Media",AC94="Mayor"),AND(AA94="Alta",AC94="Moderado"),AND(AA94="Alta",AC94="Mayor"),AND(AA94="Muy Alta",AC94="Leve"),AND(AA94="Muy Alta",AC94="Menor"),AND(AA94="Muy Alta",AC94="Moderado"),AND(AA94="Muy Alta",AC94="Mayor")),"Alto",IF(OR(AND(AA94="Muy Baja",AC94="Catastrófico"),AND(AA94="Baja",AC94="Catastrófico"),AND(AA94="Media",AC94="Catastrófico"),AND(AA94="Alta",AC94="Catastrófico"),AND(AA94="Muy Alta",AC94="Catastrófico")),"Extremo","")))),"")</f>
        <v>Alto</v>
      </c>
      <c r="AF94" s="172"/>
      <c r="AG94" s="166" t="s">
        <v>412</v>
      </c>
      <c r="AH94" s="166" t="s">
        <v>574</v>
      </c>
      <c r="AI94" s="262">
        <v>44404</v>
      </c>
      <c r="AJ94" s="173" t="s">
        <v>566</v>
      </c>
      <c r="AK94" s="166" t="s">
        <v>588</v>
      </c>
      <c r="AL94" s="166" t="s">
        <v>41</v>
      </c>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row>
    <row r="95" spans="1:70" ht="78" customHeight="1" x14ac:dyDescent="0.3">
      <c r="A95" s="319"/>
      <c r="B95" s="318"/>
      <c r="C95" s="319"/>
      <c r="D95" s="303"/>
      <c r="E95" s="303"/>
      <c r="F95" s="303"/>
      <c r="G95" s="320"/>
      <c r="H95" s="303"/>
      <c r="I95" s="362"/>
      <c r="J95" s="321"/>
      <c r="K95" s="322"/>
      <c r="L95" s="347"/>
      <c r="M95" s="310">
        <f>IF(NOT(ISERROR(MATCH(L95,_xlfn.ANCHORARRAY(#REF!),0))),#REF!&amp;"Por favor no seleccionar los criterios de impacto",L95)</f>
        <v>0</v>
      </c>
      <c r="N95" s="321"/>
      <c r="O95" s="322"/>
      <c r="P95" s="309"/>
      <c r="Q95" s="140">
        <v>3</v>
      </c>
      <c r="R95" s="152" t="s">
        <v>440</v>
      </c>
      <c r="S95" s="141" t="str">
        <f t="shared" si="68"/>
        <v>Probabilidad</v>
      </c>
      <c r="T95" s="142" t="s">
        <v>15</v>
      </c>
      <c r="U95" s="142" t="s">
        <v>9</v>
      </c>
      <c r="V95" s="143" t="str">
        <f t="shared" si="75"/>
        <v>30%</v>
      </c>
      <c r="W95" s="142" t="s">
        <v>19</v>
      </c>
      <c r="X95" s="142" t="s">
        <v>22</v>
      </c>
      <c r="Y95" s="142" t="s">
        <v>119</v>
      </c>
      <c r="Z95" s="144">
        <f>IFERROR(IF(AND(S94="Probabilidad",S95="Probabilidad"),(AB94-(+AB94*V95)),IF(AND(S94="Impacto",S95="Probabilidad"),(AB93-(+AB93*V95)),IF(S95="Impacto",AB94,""))),"")</f>
        <v>0.20579999999999998</v>
      </c>
      <c r="AA95" s="162" t="str">
        <f t="shared" si="54"/>
        <v>Baja</v>
      </c>
      <c r="AB95" s="143">
        <f t="shared" si="76"/>
        <v>0.20579999999999998</v>
      </c>
      <c r="AC95" s="162" t="str">
        <f t="shared" si="56"/>
        <v>Mayor</v>
      </c>
      <c r="AD95" s="143">
        <f>IFERROR(IF(AND(S94="Impacto",S95="Impacto"),(AD94-(+AD94*V95)),IF(AND(S94="Probabilidad",S95="Impacto"),(AD93-(+AD93*V95)),IF(S95="Probabilidad",AD94,""))),"")</f>
        <v>0.8</v>
      </c>
      <c r="AE95" s="163" t="str">
        <f t="shared" si="77"/>
        <v>Alto</v>
      </c>
      <c r="AF95" s="172"/>
      <c r="AG95" s="166" t="s">
        <v>441</v>
      </c>
      <c r="AH95" s="166" t="s">
        <v>573</v>
      </c>
      <c r="AI95" s="262">
        <v>44404</v>
      </c>
      <c r="AJ95" s="173" t="s">
        <v>566</v>
      </c>
      <c r="AK95" s="166" t="s">
        <v>589</v>
      </c>
      <c r="AL95" s="166" t="s">
        <v>41</v>
      </c>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row>
    <row r="96" spans="1:70" ht="88.5" customHeight="1" x14ac:dyDescent="0.3">
      <c r="A96" s="319">
        <v>36</v>
      </c>
      <c r="B96" s="318"/>
      <c r="C96" s="319">
        <v>6</v>
      </c>
      <c r="D96" s="303" t="s">
        <v>133</v>
      </c>
      <c r="E96" s="303" t="s">
        <v>442</v>
      </c>
      <c r="F96" s="303" t="s">
        <v>443</v>
      </c>
      <c r="G96" s="320" t="s">
        <v>444</v>
      </c>
      <c r="H96" s="303" t="s">
        <v>123</v>
      </c>
      <c r="I96" s="362">
        <v>120</v>
      </c>
      <c r="J96" s="321" t="str">
        <f>IF(I96&lt;=0,"",IF(I96&lt;=2,"Muy Baja",IF(I96&lt;=24,"Baja",IF(I96&lt;=500,"Media",IF(I96&lt;=5000,"Alta","Muy Alta")))))</f>
        <v>Media</v>
      </c>
      <c r="K96" s="322">
        <f>IF(J96="","",IF(J96="Muy Baja",0.2,IF(J96="Baja",0.4,IF(J96="Media",0.6,IF(J96="Alta",0.8,IF(J96="Muy Alta",1,))))))</f>
        <v>0.6</v>
      </c>
      <c r="L96" s="347" t="s">
        <v>147</v>
      </c>
      <c r="M96" s="310" t="str">
        <f>IF(NOT(ISERROR(MATCH(L96,'[8]Tabla Impacto'!$B$221:$B$223,0))),'[8]Tabla Impacto'!$F$223&amp;"Por favor no seleccionar los criterios de impacto(Afectación Económica o presupuestal y Pérdida Reputacional)",L96)</f>
        <v xml:space="preserve">     Mayor a 500 SMLMV </v>
      </c>
      <c r="N96" s="321" t="str">
        <f>IF(OR(M96='[8]Tabla Impacto'!$C$11,M96='[8]Tabla Impacto'!$D$11),"Leve",IF(OR(M96='[8]Tabla Impacto'!$C$12,M96='[8]Tabla Impacto'!$D$12),"Menor",IF(OR(M96='[8]Tabla Impacto'!$C$13,M96='[8]Tabla Impacto'!$D$13),"Moderado",IF(OR(M96='[8]Tabla Impacto'!$C$14,M96='[8]Tabla Impacto'!$D$14),"Mayor",IF(OR(M96='[8]Tabla Impacto'!$C$15,M96='[8]Tabla Impacto'!$D$15),"Catastrófico","")))))</f>
        <v>Catastrófico</v>
      </c>
      <c r="O96" s="322">
        <f>IF(N96="","",IF(N96="Leve",0.2,IF(N96="Menor",0.4,IF(N96="Moderado",0.6,IF(N96="Mayor",0.8,IF(N96="Catastrófico",1,))))))</f>
        <v>1</v>
      </c>
      <c r="P96" s="309" t="str">
        <f>IF(OR(AND(J96="Muy Baja",N96="Leve"),AND(J96="Muy Baja",N96="Menor"),AND(J96="Baja",N96="Leve")),"Bajo",IF(OR(AND(J96="Muy baja",N96="Moderado"),AND(J96="Baja",N96="Menor"),AND(J96="Baja",N96="Moderado"),AND(J96="Media",N96="Leve"),AND(J96="Media",N96="Menor"),AND(J96="Media",N96="Moderado"),AND(J96="Alta",N96="Leve"),AND(J96="Alta",N96="Menor")),"Moderado",IF(OR(AND(J96="Muy Baja",N96="Mayor"),AND(J96="Baja",N96="Mayor"),AND(J96="Media",N96="Mayor"),AND(J96="Alta",N96="Moderado"),AND(J96="Alta",N96="Mayor"),AND(J96="Muy Alta",N96="Leve"),AND(J96="Muy Alta",N96="Menor"),AND(J96="Muy Alta",N96="Moderado"),AND(J96="Muy Alta",N96="Mayor")),"Alto",IF(OR(AND(J96="Muy Baja",N96="Catastrófico"),AND(J96="Baja",N96="Catastrófico"),AND(J96="Media",N96="Catastrófico"),AND(J96="Alta",N96="Catastrófico"),AND(J96="Muy Alta",N96="Catastrófico")),"Extremo",""))))</f>
        <v>Extremo</v>
      </c>
      <c r="Q96" s="140">
        <v>1</v>
      </c>
      <c r="R96" s="157" t="s">
        <v>445</v>
      </c>
      <c r="S96" s="141" t="str">
        <f t="shared" si="68"/>
        <v>Probabilidad</v>
      </c>
      <c r="T96" s="142" t="s">
        <v>15</v>
      </c>
      <c r="U96" s="142" t="s">
        <v>9</v>
      </c>
      <c r="V96" s="143" t="str">
        <f>IF(AND(T96="Preventivo",U96="Automático"),"50%",IF(AND(T96="Preventivo",U96="Manual"),"40%",IF(AND(T96="Detectivo",U96="Automático"),"40%",IF(AND(T96="Detectivo",U96="Manual"),"30%",IF(AND(T96="Correctivo",U96="Automático"),"35%",IF(AND(T96="Correctivo",U96="Manual"),"25%",""))))))</f>
        <v>30%</v>
      </c>
      <c r="W96" s="142" t="s">
        <v>20</v>
      </c>
      <c r="X96" s="142" t="s">
        <v>23</v>
      </c>
      <c r="Y96" s="142" t="s">
        <v>120</v>
      </c>
      <c r="Z96" s="144">
        <f>IFERROR(IF(S96="Probabilidad",(K96-(+K96*V96)),IF(S96="Impacto",K96,"")),"")</f>
        <v>0.42</v>
      </c>
      <c r="AA96" s="162" t="str">
        <f>IFERROR(IF(Z96="","",IF(Z96&lt;=0.2,"Muy Baja",IF(Z96&lt;=0.4,"Baja",IF(Z96&lt;=0.6,"Media",IF(Z96&lt;=0.8,"Alta","Muy Alta"))))),"")</f>
        <v>Media</v>
      </c>
      <c r="AB96" s="143">
        <f>+Z96</f>
        <v>0.42</v>
      </c>
      <c r="AC96" s="162" t="str">
        <f>IFERROR(IF(AD96="","",IF(AD96&lt;=0.2,"Leve",IF(AD96&lt;=0.4,"Menor",IF(AD96&lt;=0.6,"Moderado",IF(AD96&lt;=0.8,"Mayor","Catastrófico"))))),"")</f>
        <v>Catastrófico</v>
      </c>
      <c r="AD96" s="143">
        <f>IFERROR(IF(S96="Impacto",(O96-(+O96*V96)),IF(S96="Probabilidad",O96,"")),"")</f>
        <v>1</v>
      </c>
      <c r="AE96" s="163" t="str">
        <f>IFERROR(IF(OR(AND(AA96="Muy Baja",AC96="Leve"),AND(AA96="Muy Baja",AC96="Menor"),AND(AA96="Baja",AC96="Leve")),"Bajo",IF(OR(AND(AA96="Muy baja",AC96="Moderado"),AND(AA96="Baja",AC96="Menor"),AND(AA96="Baja",AC96="Moderado"),AND(AA96="Media",AC96="Leve"),AND(AA96="Media",AC96="Menor"),AND(AA96="Media",AC96="Moderado"),AND(AA96="Alta",AC96="Leve"),AND(AA96="Alta",AC96="Menor")),"Moderado",IF(OR(AND(AA96="Muy Baja",AC96="Mayor"),AND(AA96="Baja",AC96="Mayor"),AND(AA96="Media",AC96="Mayor"),AND(AA96="Alta",AC96="Moderado"),AND(AA96="Alta",AC96="Mayor"),AND(AA96="Muy Alta",AC96="Leve"),AND(AA96="Muy Alta",AC96="Menor"),AND(AA96="Muy Alta",AC96="Moderado"),AND(AA96="Muy Alta",AC96="Mayor")),"Alto",IF(OR(AND(AA96="Muy Baja",AC96="Catastrófico"),AND(AA96="Baja",AC96="Catastrófico"),AND(AA96="Media",AC96="Catastrófico"),AND(AA96="Alta",AC96="Catastrófico"),AND(AA96="Muy Alta",AC96="Catastrófico")),"Extremo","")))),"")</f>
        <v>Extremo</v>
      </c>
      <c r="AF96" s="172"/>
      <c r="AG96" s="166" t="s">
        <v>417</v>
      </c>
      <c r="AH96" s="166" t="s">
        <v>572</v>
      </c>
      <c r="AI96" s="262">
        <v>44404</v>
      </c>
      <c r="AJ96" s="173" t="s">
        <v>566</v>
      </c>
      <c r="AK96" s="166" t="s">
        <v>590</v>
      </c>
      <c r="AL96" s="166" t="s">
        <v>41</v>
      </c>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row>
    <row r="97" spans="1:70" ht="93" customHeight="1" x14ac:dyDescent="0.3">
      <c r="A97" s="319"/>
      <c r="B97" s="318"/>
      <c r="C97" s="319"/>
      <c r="D97" s="303"/>
      <c r="E97" s="303"/>
      <c r="F97" s="303"/>
      <c r="G97" s="320"/>
      <c r="H97" s="303"/>
      <c r="I97" s="362"/>
      <c r="J97" s="321"/>
      <c r="K97" s="322"/>
      <c r="L97" s="347"/>
      <c r="M97" s="310">
        <f>IF(NOT(ISERROR(MATCH(L97,_xlfn.ANCHORARRAY(#REF!),0))),#REF!&amp;"Por favor no seleccionar los criterios de impacto",L97)</f>
        <v>0</v>
      </c>
      <c r="N97" s="321"/>
      <c r="O97" s="322"/>
      <c r="P97" s="309"/>
      <c r="Q97" s="140">
        <v>2</v>
      </c>
      <c r="R97" s="157" t="s">
        <v>446</v>
      </c>
      <c r="S97" s="141" t="str">
        <f t="shared" si="68"/>
        <v>Probabilidad</v>
      </c>
      <c r="T97" s="142" t="s">
        <v>15</v>
      </c>
      <c r="U97" s="142" t="s">
        <v>9</v>
      </c>
      <c r="V97" s="143" t="str">
        <f t="shared" ref="V97:V98" si="78">IF(AND(T97="Preventivo",U97="Automático"),"50%",IF(AND(T97="Preventivo",U97="Manual"),"40%",IF(AND(T97="Detectivo",U97="Automático"),"40%",IF(AND(T97="Detectivo",U97="Manual"),"30%",IF(AND(T97="Correctivo",U97="Automático"),"35%",IF(AND(T97="Correctivo",U97="Manual"),"25%",""))))))</f>
        <v>30%</v>
      </c>
      <c r="W97" s="142" t="s">
        <v>20</v>
      </c>
      <c r="X97" s="142" t="s">
        <v>23</v>
      </c>
      <c r="Y97" s="142" t="s">
        <v>120</v>
      </c>
      <c r="Z97" s="144">
        <f>IFERROR(IF(AND(S96="Probabilidad",S97="Probabilidad"),(AB96-(+AB96*V97)),IF(S97="Probabilidad",(K96-(+K96*V97)),IF(S97="Impacto",AB96,""))),"")</f>
        <v>0.29399999999999998</v>
      </c>
      <c r="AA97" s="162" t="str">
        <f t="shared" si="54"/>
        <v>Baja</v>
      </c>
      <c r="AB97" s="143">
        <f t="shared" ref="AB97:AB98" si="79">+Z97</f>
        <v>0.29399999999999998</v>
      </c>
      <c r="AC97" s="162" t="str">
        <f t="shared" si="56"/>
        <v>Catastrófico</v>
      </c>
      <c r="AD97" s="143">
        <f>IFERROR(IF(AND(S96="Impacto",S97="Impacto"),(AD93-(+AD93*V97)),IF(S97="Impacto",($O$57-(+$O$57*V97)),IF(S97="Probabilidad",AD93,""))),"")</f>
        <v>1</v>
      </c>
      <c r="AE97" s="163" t="str">
        <f t="shared" ref="AE97:AE98" si="80">IFERROR(IF(OR(AND(AA97="Muy Baja",AC97="Leve"),AND(AA97="Muy Baja",AC97="Menor"),AND(AA97="Baja",AC97="Leve")),"Bajo",IF(OR(AND(AA97="Muy baja",AC97="Moderado"),AND(AA97="Baja",AC97="Menor"),AND(AA97="Baja",AC97="Moderado"),AND(AA97="Media",AC97="Leve"),AND(AA97="Media",AC97="Menor"),AND(AA97="Media",AC97="Moderado"),AND(AA97="Alta",AC97="Leve"),AND(AA97="Alta",AC97="Menor")),"Moderado",IF(OR(AND(AA97="Muy Baja",AC97="Mayor"),AND(AA97="Baja",AC97="Mayor"),AND(AA97="Media",AC97="Mayor"),AND(AA97="Alta",AC97="Moderado"),AND(AA97="Alta",AC97="Mayor"),AND(AA97="Muy Alta",AC97="Leve"),AND(AA97="Muy Alta",AC97="Menor"),AND(AA97="Muy Alta",AC97="Moderado"),AND(AA97="Muy Alta",AC97="Mayor")),"Alto",IF(OR(AND(AA97="Muy Baja",AC97="Catastrófico"),AND(AA97="Baja",AC97="Catastrófico"),AND(AA97="Media",AC97="Catastrófico"),AND(AA97="Alta",AC97="Catastrófico"),AND(AA97="Muy Alta",AC97="Catastrófico")),"Extremo","")))),"")</f>
        <v>Extremo</v>
      </c>
      <c r="AF97" s="172"/>
      <c r="AG97" s="166" t="s">
        <v>447</v>
      </c>
      <c r="AH97" s="166" t="s">
        <v>572</v>
      </c>
      <c r="AI97" s="262">
        <v>44404</v>
      </c>
      <c r="AJ97" s="173" t="s">
        <v>566</v>
      </c>
      <c r="AK97" s="166" t="s">
        <v>590</v>
      </c>
      <c r="AL97" s="166" t="s">
        <v>41</v>
      </c>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row>
    <row r="98" spans="1:70" ht="85.5" customHeight="1" x14ac:dyDescent="0.3">
      <c r="A98" s="319"/>
      <c r="B98" s="318"/>
      <c r="C98" s="319"/>
      <c r="D98" s="303"/>
      <c r="E98" s="303"/>
      <c r="F98" s="303"/>
      <c r="G98" s="320"/>
      <c r="H98" s="303"/>
      <c r="I98" s="362"/>
      <c r="J98" s="321"/>
      <c r="K98" s="322"/>
      <c r="L98" s="347"/>
      <c r="M98" s="310">
        <f>IF(NOT(ISERROR(MATCH(L98,_xlfn.ANCHORARRAY(#REF!),0))),#REF!&amp;"Por favor no seleccionar los criterios de impacto",L98)</f>
        <v>0</v>
      </c>
      <c r="N98" s="321"/>
      <c r="O98" s="322"/>
      <c r="P98" s="309"/>
      <c r="Q98" s="140">
        <v>3</v>
      </c>
      <c r="R98" s="152" t="s">
        <v>448</v>
      </c>
      <c r="S98" s="141" t="str">
        <f t="shared" si="68"/>
        <v>Probabilidad</v>
      </c>
      <c r="T98" s="142" t="s">
        <v>15</v>
      </c>
      <c r="U98" s="142" t="s">
        <v>9</v>
      </c>
      <c r="V98" s="143" t="str">
        <f t="shared" si="78"/>
        <v>30%</v>
      </c>
      <c r="W98" s="142" t="s">
        <v>19</v>
      </c>
      <c r="X98" s="142" t="s">
        <v>22</v>
      </c>
      <c r="Y98" s="142" t="s">
        <v>119</v>
      </c>
      <c r="Z98" s="144">
        <f>IFERROR(IF(AND(S97="Probabilidad",S98="Probabilidad"),(AB97-(+AB97*V98)),IF(AND(S97="Impacto",S98="Probabilidad"),(AB96-(+AB96*V98)),IF(S98="Impacto",AB97,""))),"")</f>
        <v>0.20579999999999998</v>
      </c>
      <c r="AA98" s="162" t="str">
        <f t="shared" si="54"/>
        <v>Baja</v>
      </c>
      <c r="AB98" s="143">
        <f t="shared" si="79"/>
        <v>0.20579999999999998</v>
      </c>
      <c r="AC98" s="162" t="str">
        <f t="shared" si="56"/>
        <v>Catastrófico</v>
      </c>
      <c r="AD98" s="143">
        <f>IFERROR(IF(AND(S97="Impacto",S98="Impacto"),(AD97-(+AD97*V98)),IF(AND(S97="Probabilidad",S98="Impacto"),(AD96-(+AD96*V98)),IF(S98="Probabilidad",AD97,""))),"")</f>
        <v>1</v>
      </c>
      <c r="AE98" s="163" t="str">
        <f t="shared" si="80"/>
        <v>Extremo</v>
      </c>
      <c r="AF98" s="172"/>
      <c r="AG98" s="166" t="s">
        <v>449</v>
      </c>
      <c r="AH98" s="166" t="s">
        <v>573</v>
      </c>
      <c r="AI98" s="262">
        <v>44404</v>
      </c>
      <c r="AJ98" s="173" t="s">
        <v>566</v>
      </c>
      <c r="AK98" s="166" t="s">
        <v>591</v>
      </c>
      <c r="AL98" s="166" t="s">
        <v>41</v>
      </c>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row>
    <row r="99" spans="1:70" s="136" customFormat="1" ht="136.5" customHeight="1" x14ac:dyDescent="0.25">
      <c r="A99" s="199">
        <v>37</v>
      </c>
      <c r="B99" s="318" t="s">
        <v>454</v>
      </c>
      <c r="C99" s="165">
        <v>1</v>
      </c>
      <c r="D99" s="166" t="s">
        <v>131</v>
      </c>
      <c r="E99" s="166" t="s">
        <v>455</v>
      </c>
      <c r="F99" s="166" t="s">
        <v>456</v>
      </c>
      <c r="G99" s="161" t="s">
        <v>457</v>
      </c>
      <c r="H99" s="166" t="s">
        <v>123</v>
      </c>
      <c r="I99" s="167">
        <v>365</v>
      </c>
      <c r="J99" s="164" t="str">
        <f>IF(I99&lt;=0,"",IF(I99&lt;=2,"Muy Baja",IF(I99&lt;=24,"Baja",IF(I99&lt;=500,"Media",IF(I99&lt;=5000,"Alta","Muy Alta")))))</f>
        <v>Media</v>
      </c>
      <c r="K99" s="182">
        <f>IF(J99="","",IF(J99="Muy Baja",0.2,IF(J99="Baja",0.4,IF(J99="Media",0.6,IF(J99="Alta",0.8,IF(J99="Muy Alta",1,))))))</f>
        <v>0.6</v>
      </c>
      <c r="L99" s="183" t="s">
        <v>149</v>
      </c>
      <c r="M99" s="147" t="str">
        <f>IF(NOT(ISERROR(MATCH(L99,'[9]Tabla Impacto'!$B$221:$B$223,0))),'[9]Tabla Impacto'!$F$223&amp;"Por favor no seleccionar los criterios de impacto(Afectación Económica o presupuestal y Pérdida Reputacional)",L99)</f>
        <v xml:space="preserve">     El riesgo afecta la imagen de la entidad internamente, de conocimiento general, nivel interno, de junta dircetiva y accionistas y/o de provedores</v>
      </c>
      <c r="N99" s="164" t="str">
        <f>IF(OR(M99='[9]Tabla Impacto'!$C$11,M99='[9]Tabla Impacto'!$D$11),"Leve",IF(OR(M99='[9]Tabla Impacto'!$C$12,M99='[9]Tabla Impacto'!$D$12),"Menor",IF(OR(M99='[9]Tabla Impacto'!$C$13,M99='[9]Tabla Impacto'!$D$13),"Moderado",IF(OR(M99='[9]Tabla Impacto'!$C$14,M99='[9]Tabla Impacto'!$D$14),"Mayor",IF(OR(M99='[9]Tabla Impacto'!$C$15,M99='[9]Tabla Impacto'!$D$15),"Catastrófico","")))))</f>
        <v>Menor</v>
      </c>
      <c r="O99" s="182">
        <f>IF(N99="","",IF(N99="Leve",0.2,IF(N99="Menor",0.4,IF(N99="Moderado",0.6,IF(N99="Mayor",0.8,IF(N99="Catastrófico",1,))))))</f>
        <v>0.4</v>
      </c>
      <c r="P99" s="141" t="str">
        <f>IF(OR(AND(J99="Muy Baja",N99="Leve"),AND(J99="Muy Baja",N99="Menor"),AND(J99="Baja",N99="Leve")),"Bajo",IF(OR(AND(J99="Muy baja",N99="Moderado"),AND(J99="Baja",N99="Menor"),AND(J99="Baja",N99="Moderado"),AND(J99="Media",N99="Leve"),AND(J99="Media",N99="Menor"),AND(J99="Media",N99="Moderado"),AND(J99="Alta",N99="Leve"),AND(J99="Alta",N99="Menor")),"Moderado",IF(OR(AND(J99="Muy Baja",N99="Mayor"),AND(J99="Baja",N99="Mayor"),AND(J99="Media",N99="Mayor"),AND(J99="Alta",N99="Moderado"),AND(J99="Alta",N99="Mayor"),AND(J99="Muy Alta",N99="Leve"),AND(J99="Muy Alta",N99="Menor"),AND(J99="Muy Alta",N99="Moderado"),AND(J99="Muy Alta",N99="Mayor")),"Alto",IF(OR(AND(J99="Muy Baja",N99="Catastrófico"),AND(J99="Baja",N99="Catastrófico"),AND(J99="Media",N99="Catastrófico"),AND(J99="Alta",N99="Catastrófico"),AND(J99="Muy Alta",N99="Catastrófico")),"Extremo",""))))</f>
        <v>Moderado</v>
      </c>
      <c r="Q99" s="140">
        <v>3</v>
      </c>
      <c r="R99" s="157" t="s">
        <v>458</v>
      </c>
      <c r="S99" s="141" t="str">
        <f>IF(OR(T99="Preventivo",T99="Detectivo"),"Probabilidad",IF(T99="Correctivo","Impacto",""))</f>
        <v>Probabilidad</v>
      </c>
      <c r="T99" s="142" t="s">
        <v>15</v>
      </c>
      <c r="U99" s="142" t="s">
        <v>9</v>
      </c>
      <c r="V99" s="143" t="str">
        <f>IF(AND(T99="Preventivo",U99="Automático"),"50%",IF(AND(T99="Preventivo",U99="Manual"),"40%",IF(AND(T99="Detectivo",U99="Automático"),"40%",IF(AND(T99="Detectivo",U99="Manual"),"30%",IF(AND(T99="Correctivo",U99="Automático"),"35%",IF(AND(T99="Correctivo",U99="Manual"),"25%",""))))))</f>
        <v>30%</v>
      </c>
      <c r="W99" s="142" t="s">
        <v>19</v>
      </c>
      <c r="X99" s="142" t="s">
        <v>23</v>
      </c>
      <c r="Y99" s="142" t="s">
        <v>119</v>
      </c>
      <c r="Z99" s="144">
        <f>IFERROR(IF(S99="Probabilidad",(K99-(+K99*V99)),IF(S99="Impacto",K99,"")),"")</f>
        <v>0.42</v>
      </c>
      <c r="AA99" s="162" t="str">
        <f>IFERROR(IF(Z99="","",IF(Z99&lt;=0.2,"Muy Baja",IF(Z99&lt;=0.4,"Baja",IF(Z99&lt;=0.6,"Media",IF(Z99&lt;=0.8,"Alta","Muy Alta"))))),"")</f>
        <v>Media</v>
      </c>
      <c r="AB99" s="143">
        <f>+Z99</f>
        <v>0.42</v>
      </c>
      <c r="AC99" s="162" t="str">
        <f>IFERROR(IF(AD99="","",IF(AD99&lt;=0.2,"Leve",IF(AD99&lt;=0.4,"Menor",IF(AD99&lt;=0.6,"Moderado",IF(AD99&lt;=0.8,"Mayor","Catastrófico"))))),"")</f>
        <v>Menor</v>
      </c>
      <c r="AD99" s="143">
        <f>IFERROR(IF(S99="Impacto",(O99-(+O99*V99)),IF(S99="Probabilidad",O99,"")),"")</f>
        <v>0.4</v>
      </c>
      <c r="AE99" s="163" t="str">
        <f>IFERROR(IF(OR(AND(AA99="Muy Baja",AC99="Leve"),AND(AA99="Muy Baja",AC99="Menor"),AND(AA99="Baja",AC99="Leve")),"Bajo",IF(OR(AND(AA99="Muy baja",AC99="Moderado"),AND(AA99="Baja",AC99="Menor"),AND(AA99="Baja",AC99="Moderado"),AND(AA99="Media",AC99="Leve"),AND(AA99="Media",AC99="Menor"),AND(AA99="Media",AC99="Moderado"),AND(AA99="Alta",AC99="Leve"),AND(AA99="Alta",AC99="Menor")),"Moderado",IF(OR(AND(AA99="Muy Baja",AC99="Mayor"),AND(AA99="Baja",AC99="Mayor"),AND(AA99="Media",AC99="Mayor"),AND(AA99="Alta",AC99="Moderado"),AND(AA99="Alta",AC99="Mayor"),AND(AA99="Muy Alta",AC99="Leve"),AND(AA99="Muy Alta",AC99="Menor"),AND(AA99="Muy Alta",AC99="Moderado"),AND(AA99="Muy Alta",AC99="Mayor")),"Alto",IF(OR(AND(AA99="Muy Baja",AC99="Catastrófico"),AND(AA99="Baja",AC99="Catastrófico"),AND(AA99="Media",AC99="Catastrófico"),AND(AA99="Alta",AC99="Catastrófico"),AND(AA99="Muy Alta",AC99="Catastrófico")),"Extremo","")))),"")</f>
        <v>Moderado</v>
      </c>
      <c r="AF99" s="172" t="s">
        <v>31</v>
      </c>
      <c r="AG99" s="166"/>
      <c r="AH99" s="166"/>
      <c r="AI99" s="173"/>
      <c r="AJ99" s="173"/>
      <c r="AK99" s="166"/>
      <c r="AL99" s="166"/>
      <c r="AM99" s="135"/>
      <c r="AN99" s="135"/>
      <c r="AO99" s="135"/>
      <c r="AP99" s="135"/>
      <c r="AQ99" s="135"/>
      <c r="AR99" s="135"/>
      <c r="AS99" s="135"/>
      <c r="AT99" s="135"/>
      <c r="AU99" s="135"/>
      <c r="AV99" s="135"/>
      <c r="AW99" s="135"/>
      <c r="AX99" s="135"/>
      <c r="AY99" s="135"/>
      <c r="AZ99" s="135"/>
      <c r="BA99" s="135"/>
      <c r="BB99" s="135"/>
      <c r="BC99" s="135"/>
      <c r="BD99" s="135"/>
      <c r="BE99" s="135"/>
      <c r="BF99" s="135"/>
      <c r="BG99" s="135"/>
      <c r="BH99" s="135"/>
      <c r="BI99" s="135"/>
      <c r="BJ99" s="135"/>
      <c r="BK99" s="135"/>
      <c r="BL99" s="135"/>
      <c r="BM99" s="135"/>
      <c r="BN99" s="135"/>
      <c r="BO99" s="135"/>
      <c r="BP99" s="135"/>
      <c r="BQ99" s="135"/>
      <c r="BR99" s="135"/>
    </row>
    <row r="100" spans="1:70" s="136" customFormat="1" ht="197.25" customHeight="1" x14ac:dyDescent="0.25">
      <c r="A100" s="199">
        <v>38</v>
      </c>
      <c r="B100" s="318"/>
      <c r="C100" s="165">
        <v>2</v>
      </c>
      <c r="D100" s="166" t="s">
        <v>131</v>
      </c>
      <c r="E100" s="166" t="s">
        <v>459</v>
      </c>
      <c r="F100" s="166" t="s">
        <v>456</v>
      </c>
      <c r="G100" s="161" t="s">
        <v>460</v>
      </c>
      <c r="H100" s="166" t="s">
        <v>123</v>
      </c>
      <c r="I100" s="167">
        <v>365</v>
      </c>
      <c r="J100" s="164" t="str">
        <f>IF(I100&lt;=0,"",IF(I100&lt;=2,"Muy Baja",IF(I100&lt;=24,"Baja",IF(I100&lt;=500,"Media",IF(I100&lt;=5000,"Alta","Muy Alta")))))</f>
        <v>Media</v>
      </c>
      <c r="K100" s="182">
        <f>IF(J100="","",IF(J100="Muy Baja",0.2,IF(J100="Baja",0.4,IF(J100="Media",0.6,IF(J100="Alta",0.8,IF(J100="Muy Alta",1,))))))</f>
        <v>0.6</v>
      </c>
      <c r="L100" s="183" t="s">
        <v>149</v>
      </c>
      <c r="M100" s="147" t="str">
        <f>IF(NOT(ISERROR(MATCH(L100,'[9]Tabla Impacto'!$B$221:$B$223,0))),'[9]Tabla Impacto'!$F$223&amp;"Por favor no seleccionar los criterios de impacto(Afectación Económica o presupuestal y Pérdida Reputacional)",L100)</f>
        <v xml:space="preserve">     El riesgo afecta la imagen de la entidad internamente, de conocimiento general, nivel interno, de junta dircetiva y accionistas y/o de provedores</v>
      </c>
      <c r="N100" s="164" t="str">
        <f>IF(OR(M100='[9]Tabla Impacto'!$C$11,M100='[9]Tabla Impacto'!$D$11),"Leve",IF(OR(M100='[9]Tabla Impacto'!$C$12,M100='[9]Tabla Impacto'!$D$12),"Menor",IF(OR(M100='[9]Tabla Impacto'!$C$13,M100='[9]Tabla Impacto'!$D$13),"Moderado",IF(OR(M100='[9]Tabla Impacto'!$C$14,M100='[9]Tabla Impacto'!$D$14),"Mayor",IF(OR(M100='[9]Tabla Impacto'!$C$15,M100='[9]Tabla Impacto'!$D$15),"Catastrófico","")))))</f>
        <v>Menor</v>
      </c>
      <c r="O100" s="182">
        <f>IF(N100="","",IF(N100="Leve",0.2,IF(N100="Menor",0.4,IF(N100="Moderado",0.6,IF(N100="Mayor",0.8,IF(N100="Catastrófico",1,))))))</f>
        <v>0.4</v>
      </c>
      <c r="P100" s="141" t="str">
        <f>IF(OR(AND(J100="Muy Baja",N100="Leve"),AND(J100="Muy Baja",N100="Menor"),AND(J100="Baja",N100="Leve")),"Bajo",IF(OR(AND(J100="Muy baja",N100="Moderado"),AND(J100="Baja",N100="Menor"),AND(J100="Baja",N100="Moderado"),AND(J100="Media",N100="Leve"),AND(J100="Media",N100="Menor"),AND(J100="Media",N100="Moderado"),AND(J100="Alta",N100="Leve"),AND(J100="Alta",N100="Menor")),"Moderado",IF(OR(AND(J100="Muy Baja",N100="Mayor"),AND(J100="Baja",N100="Mayor"),AND(J100="Media",N100="Mayor"),AND(J100="Alta",N100="Moderado"),AND(J100="Alta",N100="Mayor"),AND(J100="Muy Alta",N100="Leve"),AND(J100="Muy Alta",N100="Menor"),AND(J100="Muy Alta",N100="Moderado"),AND(J100="Muy Alta",N100="Mayor")),"Alto",IF(OR(AND(J100="Muy Baja",N100="Catastrófico"),AND(J100="Baja",N100="Catastrófico"),AND(J100="Media",N100="Catastrófico"),AND(J100="Alta",N100="Catastrófico"),AND(J100="Muy Alta",N100="Catastrófico")),"Extremo",""))))</f>
        <v>Moderado</v>
      </c>
      <c r="Q100" s="140">
        <v>1</v>
      </c>
      <c r="R100" s="157" t="s">
        <v>461</v>
      </c>
      <c r="S100" s="141" t="str">
        <f t="shared" ref="S100:S101" si="81">IF(OR(T100="Preventivo",T100="Detectivo"),"Probabilidad",IF(T100="Correctivo","Impacto",""))</f>
        <v>Probabilidad</v>
      </c>
      <c r="T100" s="142" t="s">
        <v>14</v>
      </c>
      <c r="U100" s="142" t="s">
        <v>9</v>
      </c>
      <c r="V100" s="143" t="str">
        <f t="shared" ref="V100:V101" si="82">IF(AND(T100="Preventivo",U100="Automático"),"50%",IF(AND(T100="Preventivo",U100="Manual"),"40%",IF(AND(T100="Detectivo",U100="Automático"),"40%",IF(AND(T100="Detectivo",U100="Manual"),"30%",IF(AND(T100="Correctivo",U100="Automático"),"35%",IF(AND(T100="Correctivo",U100="Manual"),"25%",""))))))</f>
        <v>40%</v>
      </c>
      <c r="W100" s="142" t="s">
        <v>19</v>
      </c>
      <c r="X100" s="142" t="s">
        <v>22</v>
      </c>
      <c r="Y100" s="142" t="s">
        <v>119</v>
      </c>
      <c r="Z100" s="144">
        <f>IFERROR(IF(S100="Probabilidad",(K100-(+K100*V100)),IF(S100="Impacto",K100,"")),"")</f>
        <v>0.36</v>
      </c>
      <c r="AA100" s="162" t="str">
        <f>IFERROR(IF(Z100="","",IF(Z100&lt;=0.2,"Muy Baja",IF(Z100&lt;=0.4,"Baja",IF(Z100&lt;=0.6,"Media",IF(Z100&lt;=0.8,"Alta","Muy Alta"))))),"")</f>
        <v>Baja</v>
      </c>
      <c r="AB100" s="143">
        <f>+Z100</f>
        <v>0.36</v>
      </c>
      <c r="AC100" s="162" t="str">
        <f>IFERROR(IF(AD100="","",IF(AD100&lt;=0.2,"Leve",IF(AD100&lt;=0.4,"Menor",IF(AD100&lt;=0.6,"Moderado",IF(AD100&lt;=0.8,"Mayor","Catastrófico"))))),"")</f>
        <v>Menor</v>
      </c>
      <c r="AD100" s="143">
        <f>IFERROR(IF(S100="Impacto",(O100-(+O100*V100)),IF(S100="Probabilidad",O100,"")),"")</f>
        <v>0.4</v>
      </c>
      <c r="AE100" s="163" t="str">
        <f>IFERROR(IF(OR(AND(AA100="Muy Baja",AC100="Leve"),AND(AA100="Muy Baja",AC100="Menor"),AND(AA100="Baja",AC100="Leve")),"Bajo",IF(OR(AND(AA100="Muy baja",AC100="Moderado"),AND(AA100="Baja",AC100="Menor"),AND(AA100="Baja",AC100="Moderado"),AND(AA100="Media",AC100="Leve"),AND(AA100="Media",AC100="Menor"),AND(AA100="Media",AC100="Moderado"),AND(AA100="Alta",AC100="Leve"),AND(AA100="Alta",AC100="Menor")),"Moderado",IF(OR(AND(AA100="Muy Baja",AC100="Mayor"),AND(AA100="Baja",AC100="Mayor"),AND(AA100="Media",AC100="Mayor"),AND(AA100="Alta",AC100="Moderado"),AND(AA100="Alta",AC100="Mayor"),AND(AA100="Muy Alta",AC100="Leve"),AND(AA100="Muy Alta",AC100="Menor"),AND(AA100="Muy Alta",AC100="Moderado"),AND(AA100="Muy Alta",AC100="Mayor")),"Alto",IF(OR(AND(AA100="Muy Baja",AC100="Catastrófico"),AND(AA100="Baja",AC100="Catastrófico"),AND(AA100="Media",AC100="Catastrófico"),AND(AA100="Alta",AC100="Catastrófico"),AND(AA100="Muy Alta",AC100="Catastrófico")),"Extremo","")))),"")</f>
        <v>Moderado</v>
      </c>
      <c r="AF100" s="172" t="s">
        <v>32</v>
      </c>
      <c r="AG100" s="166"/>
      <c r="AH100" s="166"/>
      <c r="AI100" s="173"/>
      <c r="AJ100" s="173"/>
      <c r="AK100" s="166"/>
      <c r="AL100" s="166"/>
      <c r="AM100" s="135"/>
      <c r="AN100" s="135"/>
      <c r="AO100" s="135"/>
      <c r="AP100" s="135"/>
      <c r="AQ100" s="135"/>
      <c r="AR100" s="135"/>
      <c r="AS100" s="135"/>
      <c r="AT100" s="135"/>
      <c r="AU100" s="135"/>
      <c r="AV100" s="135"/>
      <c r="AW100" s="135"/>
      <c r="AX100" s="135"/>
      <c r="AY100" s="135"/>
      <c r="AZ100" s="135"/>
      <c r="BA100" s="135"/>
      <c r="BB100" s="135"/>
      <c r="BC100" s="135"/>
      <c r="BD100" s="135"/>
      <c r="BE100" s="135"/>
      <c r="BF100" s="135"/>
      <c r="BG100" s="135"/>
      <c r="BH100" s="135"/>
      <c r="BI100" s="135"/>
      <c r="BJ100" s="135"/>
      <c r="BK100" s="135"/>
      <c r="BL100" s="135"/>
      <c r="BM100" s="135"/>
      <c r="BN100" s="135"/>
      <c r="BO100" s="135"/>
      <c r="BP100" s="135"/>
      <c r="BQ100" s="135"/>
      <c r="BR100" s="135"/>
    </row>
    <row r="101" spans="1:70" s="136" customFormat="1" ht="156.75" customHeight="1" x14ac:dyDescent="0.25">
      <c r="A101" s="199">
        <v>39</v>
      </c>
      <c r="B101" s="318"/>
      <c r="C101" s="165">
        <v>3</v>
      </c>
      <c r="D101" s="166" t="s">
        <v>131</v>
      </c>
      <c r="E101" s="166" t="s">
        <v>462</v>
      </c>
      <c r="F101" s="166" t="s">
        <v>456</v>
      </c>
      <c r="G101" s="161" t="s">
        <v>463</v>
      </c>
      <c r="H101" s="166" t="s">
        <v>123</v>
      </c>
      <c r="I101" s="167">
        <v>365</v>
      </c>
      <c r="J101" s="164" t="str">
        <f>IF(I101&lt;=0,"",IF(I101&lt;=2,"Muy Baja",IF(I101&lt;=24,"Baja",IF(I101&lt;=500,"Media",IF(I101&lt;=5000,"Alta","Muy Alta")))))</f>
        <v>Media</v>
      </c>
      <c r="K101" s="182">
        <f>IF(J101="","",IF(J101="Muy Baja",0.2,IF(J101="Baja",0.4,IF(J101="Media",0.6,IF(J101="Alta",0.8,IF(J101="Muy Alta",1,))))))</f>
        <v>0.6</v>
      </c>
      <c r="L101" s="183" t="s">
        <v>149</v>
      </c>
      <c r="M101" s="147" t="str">
        <f>IF(NOT(ISERROR(MATCH(L101,'[9]Tabla Impacto'!$B$221:$B$223,0))),'[9]Tabla Impacto'!$F$223&amp;"Por favor no seleccionar los criterios de impacto(Afectación Económica o presupuestal y Pérdida Reputacional)",L101)</f>
        <v xml:space="preserve">     El riesgo afecta la imagen de la entidad internamente, de conocimiento general, nivel interno, de junta dircetiva y accionistas y/o de provedores</v>
      </c>
      <c r="N101" s="164" t="str">
        <f>IF(OR(M101='[9]Tabla Impacto'!$C$11,M101='[9]Tabla Impacto'!$D$11),"Leve",IF(OR(M101='[9]Tabla Impacto'!$C$12,M101='[9]Tabla Impacto'!$D$12),"Menor",IF(OR(M101='[9]Tabla Impacto'!$C$13,M101='[9]Tabla Impacto'!$D$13),"Moderado",IF(OR(M101='[9]Tabla Impacto'!$C$14,M101='[9]Tabla Impacto'!$D$14),"Mayor",IF(OR(M101='[9]Tabla Impacto'!$C$15,M101='[9]Tabla Impacto'!$D$15),"Catastrófico","")))))</f>
        <v>Menor</v>
      </c>
      <c r="O101" s="182">
        <f>IF(N101="","",IF(N101="Leve",0.2,IF(N101="Menor",0.4,IF(N101="Moderado",0.6,IF(N101="Mayor",0.8,IF(N101="Catastrófico",1,))))))</f>
        <v>0.4</v>
      </c>
      <c r="P101" s="141" t="str">
        <f>IF(OR(AND(J101="Muy Baja",N101="Leve"),AND(J101="Muy Baja",N101="Menor"),AND(J101="Baja",N101="Leve")),"Bajo",IF(OR(AND(J101="Muy baja",N101="Moderado"),AND(J101="Baja",N101="Menor"),AND(J101="Baja",N101="Moderado"),AND(J101="Media",N101="Leve"),AND(J101="Media",N101="Menor"),AND(J101="Media",N101="Moderado"),AND(J101="Alta",N101="Leve"),AND(J101="Alta",N101="Menor")),"Moderado",IF(OR(AND(J101="Muy Baja",N101="Mayor"),AND(J101="Baja",N101="Mayor"),AND(J101="Media",N101="Mayor"),AND(J101="Alta",N101="Moderado"),AND(J101="Alta",N101="Mayor"),AND(J101="Muy Alta",N101="Leve"),AND(J101="Muy Alta",N101="Menor"),AND(J101="Muy Alta",N101="Moderado"),AND(J101="Muy Alta",N101="Mayor")),"Alto",IF(OR(AND(J101="Muy Baja",N101="Catastrófico"),AND(J101="Baja",N101="Catastrófico"),AND(J101="Media",N101="Catastrófico"),AND(J101="Alta",N101="Catastrófico"),AND(J101="Muy Alta",N101="Catastrófico")),"Extremo",""))))</f>
        <v>Moderado</v>
      </c>
      <c r="Q101" s="140">
        <v>1</v>
      </c>
      <c r="R101" s="157" t="s">
        <v>464</v>
      </c>
      <c r="S101" s="141" t="str">
        <f t="shared" si="81"/>
        <v>Probabilidad</v>
      </c>
      <c r="T101" s="142" t="s">
        <v>14</v>
      </c>
      <c r="U101" s="142" t="s">
        <v>9</v>
      </c>
      <c r="V101" s="143" t="str">
        <f t="shared" si="82"/>
        <v>40%</v>
      </c>
      <c r="W101" s="142" t="s">
        <v>19</v>
      </c>
      <c r="X101" s="142" t="s">
        <v>22</v>
      </c>
      <c r="Y101" s="142" t="s">
        <v>119</v>
      </c>
      <c r="Z101" s="144">
        <f>IFERROR(IF(S101="Probabilidad",(K101-(+K101*V101)),IF(S101="Impacto",K101,"")),"")</f>
        <v>0.36</v>
      </c>
      <c r="AA101" s="162" t="str">
        <f>IFERROR(IF(Z101="","",IF(Z101&lt;=0.2,"Muy Baja",IF(Z101&lt;=0.4,"Baja",IF(Z101&lt;=0.6,"Media",IF(Z101&lt;=0.8,"Alta","Muy Alta"))))),"")</f>
        <v>Baja</v>
      </c>
      <c r="AB101" s="143">
        <f>+Z101</f>
        <v>0.36</v>
      </c>
      <c r="AC101" s="162" t="str">
        <f>IFERROR(IF(AD101="","",IF(AD101&lt;=0.2,"Leve",IF(AD101&lt;=0.4,"Menor",IF(AD101&lt;=0.6,"Moderado",IF(AD101&lt;=0.8,"Mayor","Catastrófico"))))),"")</f>
        <v>Menor</v>
      </c>
      <c r="AD101" s="143">
        <f>IFERROR(IF(S101="Impacto",(O101-(+O101*V101)),IF(S101="Probabilidad",O101,"")),"")</f>
        <v>0.4</v>
      </c>
      <c r="AE101" s="163" t="str">
        <f>IFERROR(IF(OR(AND(AA101="Muy Baja",AC101="Leve"),AND(AA101="Muy Baja",AC101="Menor"),AND(AA101="Baja",AC101="Leve")),"Bajo",IF(OR(AND(AA101="Muy baja",AC101="Moderado"),AND(AA101="Baja",AC101="Menor"),AND(AA101="Baja",AC101="Moderado"),AND(AA101="Media",AC101="Leve"),AND(AA101="Media",AC101="Menor"),AND(AA101="Media",AC101="Moderado"),AND(AA101="Alta",AC101="Leve"),AND(AA101="Alta",AC101="Menor")),"Moderado",IF(OR(AND(AA101="Muy Baja",AC101="Mayor"),AND(AA101="Baja",AC101="Mayor"),AND(AA101="Media",AC101="Mayor"),AND(AA101="Alta",AC101="Moderado"),AND(AA101="Alta",AC101="Mayor"),AND(AA101="Muy Alta",AC101="Leve"),AND(AA101="Muy Alta",AC101="Menor"),AND(AA101="Muy Alta",AC101="Moderado"),AND(AA101="Muy Alta",AC101="Mayor")),"Alto",IF(OR(AND(AA101="Muy Baja",AC101="Catastrófico"),AND(AA101="Baja",AC101="Catastrófico"),AND(AA101="Media",AC101="Catastrófico"),AND(AA101="Alta",AC101="Catastrófico"),AND(AA101="Muy Alta",AC101="Catastrófico")),"Extremo","")))),"")</f>
        <v>Moderado</v>
      </c>
      <c r="AF101" s="172" t="s">
        <v>32</v>
      </c>
      <c r="AG101" s="166"/>
      <c r="AH101" s="166"/>
      <c r="AI101" s="173"/>
      <c r="AJ101" s="173"/>
      <c r="AK101" s="166"/>
      <c r="AL101" s="166"/>
      <c r="AM101" s="135"/>
      <c r="AN101" s="135"/>
      <c r="AO101" s="135"/>
      <c r="AP101" s="135"/>
      <c r="AQ101" s="135"/>
      <c r="AR101" s="135"/>
      <c r="AS101" s="135"/>
      <c r="AT101" s="135"/>
      <c r="AU101" s="135"/>
      <c r="AV101" s="135"/>
      <c r="AW101" s="135"/>
      <c r="AX101" s="135"/>
      <c r="AY101" s="135"/>
      <c r="AZ101" s="135"/>
      <c r="BA101" s="135"/>
      <c r="BB101" s="135"/>
      <c r="BC101" s="135"/>
      <c r="BD101" s="135"/>
      <c r="BE101" s="135"/>
      <c r="BF101" s="135"/>
      <c r="BG101" s="135"/>
      <c r="BH101" s="135"/>
      <c r="BI101" s="135"/>
      <c r="BJ101" s="135"/>
      <c r="BK101" s="135"/>
      <c r="BL101" s="135"/>
      <c r="BM101" s="135"/>
      <c r="BN101" s="135"/>
      <c r="BO101" s="135"/>
      <c r="BP101" s="135"/>
      <c r="BQ101" s="135"/>
      <c r="BR101" s="135"/>
    </row>
    <row r="102" spans="1:70" s="136" customFormat="1" ht="181.5" customHeight="1" x14ac:dyDescent="0.25">
      <c r="A102" s="198">
        <v>40</v>
      </c>
      <c r="B102" s="205" t="s">
        <v>454</v>
      </c>
      <c r="C102" s="198">
        <v>1</v>
      </c>
      <c r="D102" s="202" t="s">
        <v>133</v>
      </c>
      <c r="E102" s="202" t="s">
        <v>539</v>
      </c>
      <c r="F102" s="202" t="s">
        <v>456</v>
      </c>
      <c r="G102" s="202" t="s">
        <v>540</v>
      </c>
      <c r="H102" s="202" t="s">
        <v>123</v>
      </c>
      <c r="I102" s="203">
        <v>365</v>
      </c>
      <c r="J102" s="225" t="str">
        <f>IF(I102&lt;=0,"",IF(I102&lt;=2,"Muy Baja",IF(I102&lt;=24,"Baja",IF(I102&lt;=500,"Media",IF(I102&lt;=5000,"Alta","Muy Alta")))))</f>
        <v>Media</v>
      </c>
      <c r="K102" s="201">
        <f>IF(J102="","",IF(J102="Muy Baja",0.2,IF(J102="Baja",0.4,IF(J102="Media",0.6,IF(J102="Alta",0.8,IF(J102="Muy Alta",1,))))))</f>
        <v>0.6</v>
      </c>
      <c r="L102" s="204" t="s">
        <v>149</v>
      </c>
      <c r="M102" s="201" t="str">
        <f>IF(NOT(ISERROR(MATCH(L102,'[10]Tabla Impacto'!$B$221:$B$223,0))),'[10]Tabla Impacto'!$F$223&amp;"Por favor no seleccionar los criterios de impacto(Afectación Económica o presupuestal y Pérdida Reputacional)",L102)</f>
        <v xml:space="preserve">     El riesgo afecta la imagen de la entidad internamente, de conocimiento general, nivel interno, de junta dircetiva y accionistas y/o de provedores</v>
      </c>
      <c r="N102" s="225" t="str">
        <f>IF(OR(M102='[10]Tabla Impacto'!$C$11,M102='[10]Tabla Impacto'!$D$11),"Leve",IF(OR(M102='[10]Tabla Impacto'!$C$12,M102='[10]Tabla Impacto'!$D$12),"Menor",IF(OR(M102='[10]Tabla Impacto'!$C$13,M102='[10]Tabla Impacto'!$D$13),"Moderado",IF(OR(M102='[10]Tabla Impacto'!$C$14,M102='[10]Tabla Impacto'!$D$14),"Mayor",IF(OR(M102='[10]Tabla Impacto'!$C$15,M102='[10]Tabla Impacto'!$D$15),"Catastrófico","")))))</f>
        <v>Menor</v>
      </c>
      <c r="O102" s="201">
        <f>IF(N102="","",IF(N102="Leve",0.2,IF(N102="Menor",0.4,IF(N102="Moderado",0.6,IF(N102="Mayor",0.8,IF(N102="Catastrófico",1,))))))</f>
        <v>0.4</v>
      </c>
      <c r="P102" s="226" t="str">
        <f>IF(OR(AND(J102="Muy Baja",N102="Leve"),AND(J102="Muy Baja",N102="Menor"),AND(J102="Baja",N102="Leve")),"Bajo",IF(OR(AND(J102="Muy baja",N102="Moderado"),AND(J102="Baja",N102="Menor"),AND(J102="Baja",N102="Moderado"),AND(J102="Media",N102="Leve"),AND(J102="Media",N102="Menor"),AND(J102="Media",N102="Moderado"),AND(J102="Alta",N102="Leve"),AND(J102="Alta",N102="Menor")),"Moderado",IF(OR(AND(J102="Muy Baja",N102="Mayor"),AND(J102="Baja",N102="Mayor"),AND(J102="Media",N102="Mayor"),AND(J102="Alta",N102="Moderado"),AND(J102="Alta",N102="Mayor"),AND(J102="Muy Alta",N102="Leve"),AND(J102="Muy Alta",N102="Menor"),AND(J102="Muy Alta",N102="Moderado"),AND(J102="Muy Alta",N102="Mayor")),"Alto",IF(OR(AND(J102="Muy Baja",N102="Catastrófico"),AND(J102="Baja",N102="Catastrófico"),AND(J102="Media",N102="Catastrófico"),AND(J102="Alta",N102="Catastrófico"),AND(J102="Muy Alta",N102="Catastrófico")),"Extremo",""))))</f>
        <v>Moderado</v>
      </c>
      <c r="Q102" s="198">
        <v>1</v>
      </c>
      <c r="R102" s="201" t="s">
        <v>541</v>
      </c>
      <c r="S102" s="200" t="str">
        <f>IF(OR(T102="Preventivo",T102="Detectivo"),"Probabilidad",IF(T102="Correctivo","Impacto",""))</f>
        <v>Probabilidad</v>
      </c>
      <c r="T102" s="142" t="s">
        <v>14</v>
      </c>
      <c r="U102" s="142" t="s">
        <v>9</v>
      </c>
      <c r="V102" s="143" t="str">
        <f>IF(AND(T102="Preventivo",U102="Automático"),"50%",IF(AND(T102="Preventivo",U102="Manual"),"40%",IF(AND(T102="Detectivo",U102="Automático"),"40%",IF(AND(T102="Detectivo",U102="Manual"),"30%",IF(AND(T102="Correctivo",U102="Automático"),"35%",IF(AND(T102="Correctivo",U102="Manual"),"25%",""))))))</f>
        <v>40%</v>
      </c>
      <c r="W102" s="142" t="s">
        <v>19</v>
      </c>
      <c r="X102" s="142" t="s">
        <v>23</v>
      </c>
      <c r="Y102" s="142" t="s">
        <v>119</v>
      </c>
      <c r="Z102" s="144">
        <f>IFERROR(IF(S102="Probabilidad",(K102-(+K102*V102)),IF(S102="Impacto",K102,"")),"")</f>
        <v>0.36</v>
      </c>
      <c r="AA102" s="227" t="str">
        <f>IFERROR(IF(Z102="","",IF(Z102&lt;=0.2,"Muy Baja",IF(Z102&lt;=0.4,"Baja",IF(Z102&lt;=0.6,"Media",IF(Z102&lt;=0.8,"Alta","Muy Alta"))))),"")</f>
        <v>Baja</v>
      </c>
      <c r="AB102" s="143">
        <f>+Z102</f>
        <v>0.36</v>
      </c>
      <c r="AC102" s="227" t="str">
        <f>IFERROR(IF(AD102="","",IF(AD102&lt;=0.2,"Leve",IF(AD102&lt;=0.4,"Menor",IF(AD102&lt;=0.6,"Moderado",IF(AD102&lt;=0.8,"Mayor","Catastrófico"))))),"")</f>
        <v>Menor</v>
      </c>
      <c r="AD102" s="143">
        <f>IFERROR(IF(S102="Impacto",(O102-(+O102*V102)),IF(S102="Probabilidad",O102,"")),"")</f>
        <v>0.4</v>
      </c>
      <c r="AE102" s="228" t="str">
        <f>IFERROR(IF(OR(AND(AA102="Muy Baja",AC102="Leve"),AND(AA102="Muy Baja",AC102="Menor"),AND(AA102="Baja",AC102="Leve")),"Bajo",IF(OR(AND(AA102="Muy baja",AC102="Moderado"),AND(AA102="Baja",AC102="Menor"),AND(AA102="Baja",AC102="Moderado"),AND(AA102="Media",AC102="Leve"),AND(AA102="Media",AC102="Menor"),AND(AA102="Media",AC102="Moderado"),AND(AA102="Alta",AC102="Leve"),AND(AA102="Alta",AC102="Menor")),"Moderado",IF(OR(AND(AA102="Muy Baja",AC102="Mayor"),AND(AA102="Baja",AC102="Mayor"),AND(AA102="Media",AC102="Mayor"),AND(AA102="Alta",AC102="Moderado"),AND(AA102="Alta",AC102="Mayor"),AND(AA102="Muy Alta",AC102="Leve"),AND(AA102="Muy Alta",AC102="Menor"),AND(AA102="Muy Alta",AC102="Moderado"),AND(AA102="Muy Alta",AC102="Mayor")),"Alto",IF(OR(AND(AA102="Muy Baja",AC102="Catastrófico"),AND(AA102="Baja",AC102="Catastrófico"),AND(AA102="Media",AC102="Catastrófico"),AND(AA102="Alta",AC102="Catastrófico"),AND(AA102="Muy Alta",AC102="Catastrófico")),"Extremo","")))),"")</f>
        <v>Moderado</v>
      </c>
      <c r="AF102" s="142" t="s">
        <v>31</v>
      </c>
      <c r="AG102" s="202"/>
      <c r="AH102" s="203"/>
      <c r="AI102" s="149"/>
      <c r="AJ102" s="149"/>
      <c r="AK102" s="202"/>
      <c r="AL102" s="203"/>
      <c r="AM102" s="135"/>
      <c r="AN102" s="135"/>
      <c r="AO102" s="135"/>
      <c r="AP102" s="135"/>
      <c r="AQ102" s="135"/>
      <c r="AR102" s="135"/>
      <c r="AS102" s="135"/>
      <c r="AT102" s="135"/>
      <c r="AU102" s="135"/>
      <c r="AV102" s="135"/>
      <c r="AW102" s="135"/>
      <c r="AX102" s="135"/>
      <c r="AY102" s="135"/>
      <c r="AZ102" s="135"/>
      <c r="BA102" s="135"/>
      <c r="BB102" s="135"/>
      <c r="BC102" s="135"/>
      <c r="BD102" s="135"/>
      <c r="BE102" s="135"/>
      <c r="BF102" s="135"/>
      <c r="BG102" s="135"/>
      <c r="BH102" s="135"/>
      <c r="BI102" s="135"/>
      <c r="BJ102" s="135"/>
      <c r="BK102" s="135"/>
      <c r="BL102" s="135"/>
      <c r="BM102" s="135"/>
      <c r="BN102" s="135"/>
      <c r="BO102" s="135"/>
      <c r="BP102" s="135"/>
      <c r="BQ102" s="135"/>
      <c r="BR102" s="135"/>
    </row>
    <row r="103" spans="1:70" ht="69.75" customHeight="1" x14ac:dyDescent="0.3">
      <c r="B103" s="181"/>
      <c r="C103" s="154"/>
      <c r="D103" s="363" t="s">
        <v>466</v>
      </c>
      <c r="E103" s="364"/>
      <c r="F103" s="364"/>
      <c r="G103" s="364"/>
      <c r="H103" s="364"/>
      <c r="I103" s="364"/>
      <c r="J103" s="364"/>
      <c r="K103" s="364"/>
      <c r="L103" s="364"/>
      <c r="M103" s="364"/>
      <c r="N103" s="364"/>
      <c r="O103" s="364"/>
      <c r="P103" s="364"/>
      <c r="Q103" s="364"/>
      <c r="R103" s="364"/>
      <c r="S103" s="364"/>
      <c r="T103" s="364"/>
      <c r="U103" s="364"/>
      <c r="V103" s="364"/>
      <c r="W103" s="364"/>
      <c r="X103" s="364"/>
      <c r="Y103" s="364"/>
      <c r="Z103" s="364"/>
      <c r="AA103" s="364"/>
      <c r="AB103" s="364"/>
      <c r="AC103" s="364"/>
      <c r="AD103" s="364"/>
      <c r="AE103" s="364"/>
      <c r="AF103" s="364"/>
      <c r="AG103" s="364"/>
      <c r="AH103" s="364"/>
      <c r="AI103" s="364"/>
      <c r="AJ103" s="364"/>
      <c r="AK103" s="364"/>
      <c r="AL103" s="365"/>
    </row>
    <row r="104" spans="1:70" ht="123.75" customHeight="1" x14ac:dyDescent="0.3">
      <c r="B104" s="153"/>
      <c r="C104" s="153"/>
      <c r="D104" s="315" t="s">
        <v>138</v>
      </c>
      <c r="E104" s="315"/>
      <c r="F104" s="315"/>
      <c r="G104" s="315"/>
      <c r="H104" s="315"/>
      <c r="I104" s="315"/>
      <c r="J104" s="315"/>
      <c r="K104" s="315"/>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row>
    <row r="105" spans="1:70" x14ac:dyDescent="0.3">
      <c r="B105" s="153"/>
      <c r="C105" s="155"/>
      <c r="D105" s="316"/>
      <c r="E105" s="316"/>
      <c r="F105" s="316"/>
      <c r="G105" s="316"/>
      <c r="H105" s="316"/>
      <c r="I105" s="316"/>
      <c r="J105" s="316"/>
      <c r="K105" s="316"/>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3"/>
      <c r="AL105" s="153"/>
    </row>
    <row r="106" spans="1:70" x14ac:dyDescent="0.3">
      <c r="B106" s="153"/>
      <c r="C106" s="155"/>
      <c r="D106" s="155"/>
      <c r="E106" s="155"/>
      <c r="F106" s="155"/>
      <c r="G106" s="153"/>
      <c r="H106" s="156"/>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row>
  </sheetData>
  <dataConsolidate/>
  <mergeCells count="375">
    <mergeCell ref="AK45:AK46"/>
    <mergeCell ref="AL45:AL46"/>
    <mergeCell ref="AK48:AK49"/>
    <mergeCell ref="AL48:AL49"/>
    <mergeCell ref="AK50:AK51"/>
    <mergeCell ref="AL50:AL51"/>
    <mergeCell ref="AK52:AK54"/>
    <mergeCell ref="AL52:AL54"/>
    <mergeCell ref="A79:A83"/>
    <mergeCell ref="C79:C83"/>
    <mergeCell ref="D79:D83"/>
    <mergeCell ref="E79:E83"/>
    <mergeCell ref="J79:J83"/>
    <mergeCell ref="K79:K83"/>
    <mergeCell ref="C70:C75"/>
    <mergeCell ref="D70:D75"/>
    <mergeCell ref="E70:E75"/>
    <mergeCell ref="F70:F75"/>
    <mergeCell ref="G70:G75"/>
    <mergeCell ref="H70:H75"/>
    <mergeCell ref="I70:I75"/>
    <mergeCell ref="J70:J75"/>
    <mergeCell ref="K70:K75"/>
    <mergeCell ref="J52:J54"/>
    <mergeCell ref="A84:A89"/>
    <mergeCell ref="A90:A92"/>
    <mergeCell ref="A93:A95"/>
    <mergeCell ref="A96:A98"/>
    <mergeCell ref="A42:A43"/>
    <mergeCell ref="A44:A45"/>
    <mergeCell ref="A46:A47"/>
    <mergeCell ref="A48:A49"/>
    <mergeCell ref="A50:A51"/>
    <mergeCell ref="A52:A54"/>
    <mergeCell ref="A64:A66"/>
    <mergeCell ref="A70:A75"/>
    <mergeCell ref="A76:A78"/>
    <mergeCell ref="C18:C19"/>
    <mergeCell ref="H18:H19"/>
    <mergeCell ref="G18:G19"/>
    <mergeCell ref="F18:F19"/>
    <mergeCell ref="E18:E19"/>
    <mergeCell ref="D18:D19"/>
    <mergeCell ref="I18:I19"/>
    <mergeCell ref="C39:C41"/>
    <mergeCell ref="D39:D41"/>
    <mergeCell ref="A18:A19"/>
    <mergeCell ref="A20:A22"/>
    <mergeCell ref="A24:A26"/>
    <mergeCell ref="A27:A29"/>
    <mergeCell ref="A31:A33"/>
    <mergeCell ref="A36:A38"/>
    <mergeCell ref="A39:A41"/>
    <mergeCell ref="L36:L38"/>
    <mergeCell ref="M36:M38"/>
    <mergeCell ref="E36:E38"/>
    <mergeCell ref="F36:F38"/>
    <mergeCell ref="G36:G38"/>
    <mergeCell ref="H36:H38"/>
    <mergeCell ref="I36:I38"/>
    <mergeCell ref="J36:J38"/>
    <mergeCell ref="K36:K38"/>
    <mergeCell ref="K39:K41"/>
    <mergeCell ref="E39:E41"/>
    <mergeCell ref="F39:F41"/>
    <mergeCell ref="G39:G41"/>
    <mergeCell ref="H39:H41"/>
    <mergeCell ref="I39:I41"/>
    <mergeCell ref="J39:J41"/>
    <mergeCell ref="B18:B19"/>
    <mergeCell ref="N36:N38"/>
    <mergeCell ref="O36:O38"/>
    <mergeCell ref="P36:P38"/>
    <mergeCell ref="N39:N41"/>
    <mergeCell ref="O39:O41"/>
    <mergeCell ref="P39:P41"/>
    <mergeCell ref="B64:B66"/>
    <mergeCell ref="C64:C66"/>
    <mergeCell ref="D64:D66"/>
    <mergeCell ref="E64:E66"/>
    <mergeCell ref="F64:F66"/>
    <mergeCell ref="G64:G66"/>
    <mergeCell ref="H64:H66"/>
    <mergeCell ref="I64:I66"/>
    <mergeCell ref="J64:J66"/>
    <mergeCell ref="K64:K66"/>
    <mergeCell ref="L64:L66"/>
    <mergeCell ref="M64:M66"/>
    <mergeCell ref="N64:N66"/>
    <mergeCell ref="O64:O66"/>
    <mergeCell ref="P64:P66"/>
    <mergeCell ref="B35:B41"/>
    <mergeCell ref="C36:C38"/>
    <mergeCell ref="D36:D38"/>
    <mergeCell ref="C17:I17"/>
    <mergeCell ref="J17:P17"/>
    <mergeCell ref="Q17:Y17"/>
    <mergeCell ref="Z17:AF17"/>
    <mergeCell ref="AG17:AL17"/>
    <mergeCell ref="B31:B34"/>
    <mergeCell ref="C31:C33"/>
    <mergeCell ref="D31:D33"/>
    <mergeCell ref="E31:E33"/>
    <mergeCell ref="F31:F33"/>
    <mergeCell ref="G31:G33"/>
    <mergeCell ref="H31:H33"/>
    <mergeCell ref="I31:I33"/>
    <mergeCell ref="K31:K33"/>
    <mergeCell ref="L31:L33"/>
    <mergeCell ref="M31:M33"/>
    <mergeCell ref="O31:O33"/>
    <mergeCell ref="AG18:AG19"/>
    <mergeCell ref="N18:N19"/>
    <mergeCell ref="O18:O19"/>
    <mergeCell ref="P18:P19"/>
    <mergeCell ref="H20:H22"/>
    <mergeCell ref="I20:I22"/>
    <mergeCell ref="J20:J22"/>
    <mergeCell ref="D103:AL103"/>
    <mergeCell ref="B99:B101"/>
    <mergeCell ref="C76:C78"/>
    <mergeCell ref="D76:D78"/>
    <mergeCell ref="E76:E78"/>
    <mergeCell ref="F76:F78"/>
    <mergeCell ref="G76:G78"/>
    <mergeCell ref="H76:H78"/>
    <mergeCell ref="I76:I78"/>
    <mergeCell ref="J76:J78"/>
    <mergeCell ref="K76:K78"/>
    <mergeCell ref="O76:O78"/>
    <mergeCell ref="P76:P78"/>
    <mergeCell ref="L96:L98"/>
    <mergeCell ref="M96:M98"/>
    <mergeCell ref="N96:N98"/>
    <mergeCell ref="O96:O98"/>
    <mergeCell ref="P96:P98"/>
    <mergeCell ref="L90:L92"/>
    <mergeCell ref="M90:M92"/>
    <mergeCell ref="N90:N92"/>
    <mergeCell ref="O90:O92"/>
    <mergeCell ref="P90:P92"/>
    <mergeCell ref="L93:L95"/>
    <mergeCell ref="O93:O95"/>
    <mergeCell ref="P93:P95"/>
    <mergeCell ref="L79:L83"/>
    <mergeCell ref="M79:M83"/>
    <mergeCell ref="N79:N83"/>
    <mergeCell ref="O79:O83"/>
    <mergeCell ref="P79:P83"/>
    <mergeCell ref="O84:O89"/>
    <mergeCell ref="P84:P89"/>
    <mergeCell ref="F96:F98"/>
    <mergeCell ref="G96:G98"/>
    <mergeCell ref="H96:H98"/>
    <mergeCell ref="I96:I98"/>
    <mergeCell ref="J96:J98"/>
    <mergeCell ref="K96:K98"/>
    <mergeCell ref="L76:L78"/>
    <mergeCell ref="M76:M78"/>
    <mergeCell ref="N76:N78"/>
    <mergeCell ref="F90:F92"/>
    <mergeCell ref="G90:G92"/>
    <mergeCell ref="H90:H92"/>
    <mergeCell ref="I90:I92"/>
    <mergeCell ref="J90:J92"/>
    <mergeCell ref="K90:K92"/>
    <mergeCell ref="L84:L89"/>
    <mergeCell ref="M84:M89"/>
    <mergeCell ref="N84:N89"/>
    <mergeCell ref="M93:M95"/>
    <mergeCell ref="N93:N95"/>
    <mergeCell ref="F79:F83"/>
    <mergeCell ref="G79:G83"/>
    <mergeCell ref="H79:H83"/>
    <mergeCell ref="I79:I83"/>
    <mergeCell ref="C93:C95"/>
    <mergeCell ref="D93:D95"/>
    <mergeCell ref="E93:E95"/>
    <mergeCell ref="F93:F95"/>
    <mergeCell ref="G93:G95"/>
    <mergeCell ref="H93:H95"/>
    <mergeCell ref="I93:I95"/>
    <mergeCell ref="J93:J95"/>
    <mergeCell ref="K93:K95"/>
    <mergeCell ref="C84:C89"/>
    <mergeCell ref="D84:D89"/>
    <mergeCell ref="E84:E89"/>
    <mergeCell ref="F84:F89"/>
    <mergeCell ref="G84:G89"/>
    <mergeCell ref="H84:H89"/>
    <mergeCell ref="I84:I89"/>
    <mergeCell ref="J84:J89"/>
    <mergeCell ref="K84:K89"/>
    <mergeCell ref="K52:K54"/>
    <mergeCell ref="L52:L54"/>
    <mergeCell ref="M52:M54"/>
    <mergeCell ref="N52:N54"/>
    <mergeCell ref="O52:O54"/>
    <mergeCell ref="P52:P54"/>
    <mergeCell ref="L70:L75"/>
    <mergeCell ref="M70:M75"/>
    <mergeCell ref="N70:N75"/>
    <mergeCell ref="O70:O75"/>
    <mergeCell ref="P70:P75"/>
    <mergeCell ref="C52:C54"/>
    <mergeCell ref="D52:D54"/>
    <mergeCell ref="E52:E54"/>
    <mergeCell ref="F52:F54"/>
    <mergeCell ref="G52:G54"/>
    <mergeCell ref="F50:F51"/>
    <mergeCell ref="G50:G51"/>
    <mergeCell ref="H52:H54"/>
    <mergeCell ref="I52:I54"/>
    <mergeCell ref="O50:O51"/>
    <mergeCell ref="P50:P51"/>
    <mergeCell ref="H50:H51"/>
    <mergeCell ref="O48:O49"/>
    <mergeCell ref="P48:P49"/>
    <mergeCell ref="C48:C49"/>
    <mergeCell ref="D48:D49"/>
    <mergeCell ref="E48:E49"/>
    <mergeCell ref="F48:F49"/>
    <mergeCell ref="G48:G49"/>
    <mergeCell ref="I50:I51"/>
    <mergeCell ref="J50:J51"/>
    <mergeCell ref="K50:K51"/>
    <mergeCell ref="L50:L51"/>
    <mergeCell ref="M50:M51"/>
    <mergeCell ref="N50:N51"/>
    <mergeCell ref="H48:H49"/>
    <mergeCell ref="I48:I49"/>
    <mergeCell ref="J48:J49"/>
    <mergeCell ref="K48:K49"/>
    <mergeCell ref="L48:L49"/>
    <mergeCell ref="M48:M49"/>
    <mergeCell ref="N48:N49"/>
    <mergeCell ref="E46:E47"/>
    <mergeCell ref="F46:F47"/>
    <mergeCell ref="G46:G47"/>
    <mergeCell ref="H46:H47"/>
    <mergeCell ref="I46:I47"/>
    <mergeCell ref="J46:J47"/>
    <mergeCell ref="K46:K47"/>
    <mergeCell ref="O46:O47"/>
    <mergeCell ref="P46:P47"/>
    <mergeCell ref="L44:L45"/>
    <mergeCell ref="M44:M45"/>
    <mergeCell ref="N44:N45"/>
    <mergeCell ref="O44:O45"/>
    <mergeCell ref="P44:P45"/>
    <mergeCell ref="L46:L47"/>
    <mergeCell ref="M46:M47"/>
    <mergeCell ref="N46:N47"/>
    <mergeCell ref="C6:D6"/>
    <mergeCell ref="E6:P6"/>
    <mergeCell ref="C44:C45"/>
    <mergeCell ref="D44:D45"/>
    <mergeCell ref="E44:E45"/>
    <mergeCell ref="F44:F45"/>
    <mergeCell ref="H11:J11"/>
    <mergeCell ref="H12:J12"/>
    <mergeCell ref="G13:J14"/>
    <mergeCell ref="G44:G45"/>
    <mergeCell ref="H44:H45"/>
    <mergeCell ref="I44:I45"/>
    <mergeCell ref="J44:J45"/>
    <mergeCell ref="K44:K45"/>
    <mergeCell ref="C46:C47"/>
    <mergeCell ref="D46:D47"/>
    <mergeCell ref="Q6:S6"/>
    <mergeCell ref="C7:D7"/>
    <mergeCell ref="E7:P7"/>
    <mergeCell ref="C42:C43"/>
    <mergeCell ref="D42:D43"/>
    <mergeCell ref="E42:E43"/>
    <mergeCell ref="F42:F43"/>
    <mergeCell ref="G42:G43"/>
    <mergeCell ref="H42:H43"/>
    <mergeCell ref="I42:I43"/>
    <mergeCell ref="J42:J43"/>
    <mergeCell ref="K42:K43"/>
    <mergeCell ref="L42:L43"/>
    <mergeCell ref="M42:M43"/>
    <mergeCell ref="N42:N43"/>
    <mergeCell ref="O42:O43"/>
    <mergeCell ref="P42:P43"/>
    <mergeCell ref="H24:H26"/>
    <mergeCell ref="I24:I26"/>
    <mergeCell ref="J24:J26"/>
    <mergeCell ref="K24:K26"/>
    <mergeCell ref="L24:L26"/>
    <mergeCell ref="N24:N26"/>
    <mergeCell ref="G20:G22"/>
    <mergeCell ref="H2:J2"/>
    <mergeCell ref="H3:J3"/>
    <mergeCell ref="G4:J5"/>
    <mergeCell ref="O24:O26"/>
    <mergeCell ref="P24:P26"/>
    <mergeCell ref="C27:C29"/>
    <mergeCell ref="D27:D29"/>
    <mergeCell ref="E27:E29"/>
    <mergeCell ref="G27:G29"/>
    <mergeCell ref="H27:H29"/>
    <mergeCell ref="I27:I29"/>
    <mergeCell ref="J27:J29"/>
    <mergeCell ref="K27:K29"/>
    <mergeCell ref="L27:L29"/>
    <mergeCell ref="M27:M29"/>
    <mergeCell ref="N27:N29"/>
    <mergeCell ref="O27:O29"/>
    <mergeCell ref="P27:P29"/>
    <mergeCell ref="E24:E26"/>
    <mergeCell ref="C24:C26"/>
    <mergeCell ref="D24:D26"/>
    <mergeCell ref="G24:G26"/>
    <mergeCell ref="C8:D8"/>
    <mergeCell ref="E8:P8"/>
    <mergeCell ref="Q18:Q19"/>
    <mergeCell ref="AE18:AE19"/>
    <mergeCell ref="AD18:AD19"/>
    <mergeCell ref="Z18:Z19"/>
    <mergeCell ref="R18:R19"/>
    <mergeCell ref="AC18:AC19"/>
    <mergeCell ref="AA18:AA19"/>
    <mergeCell ref="AB18:AB19"/>
    <mergeCell ref="S18:S19"/>
    <mergeCell ref="T18:Y18"/>
    <mergeCell ref="B15:AL16"/>
    <mergeCell ref="D104:K105"/>
    <mergeCell ref="B20:B30"/>
    <mergeCell ref="B42:B56"/>
    <mergeCell ref="B57:B63"/>
    <mergeCell ref="B67:B70"/>
    <mergeCell ref="B76:B98"/>
    <mergeCell ref="C20:C22"/>
    <mergeCell ref="D20:D22"/>
    <mergeCell ref="E20:E22"/>
    <mergeCell ref="C50:C51"/>
    <mergeCell ref="D50:D51"/>
    <mergeCell ref="E50:E51"/>
    <mergeCell ref="C90:C92"/>
    <mergeCell ref="D90:D92"/>
    <mergeCell ref="E90:E92"/>
    <mergeCell ref="C96:C98"/>
    <mergeCell ref="D96:D98"/>
    <mergeCell ref="AJ27:AJ29"/>
    <mergeCell ref="AL27:AL29"/>
    <mergeCell ref="AH20:AH22"/>
    <mergeCell ref="N20:N22"/>
    <mergeCell ref="O20:O22"/>
    <mergeCell ref="K18:K19"/>
    <mergeCell ref="AI20:AI22"/>
    <mergeCell ref="AJ20:AJ22"/>
    <mergeCell ref="E96:E98"/>
    <mergeCell ref="AH27:AH29"/>
    <mergeCell ref="AI27:AI29"/>
    <mergeCell ref="AL18:AL19"/>
    <mergeCell ref="AK18:AK19"/>
    <mergeCell ref="AJ18:AJ19"/>
    <mergeCell ref="AI18:AI19"/>
    <mergeCell ref="AH18:AH19"/>
    <mergeCell ref="AL20:AL22"/>
    <mergeCell ref="AH24:AH26"/>
    <mergeCell ref="AI24:AI26"/>
    <mergeCell ref="AJ24:AJ26"/>
    <mergeCell ref="AL24:AL26"/>
    <mergeCell ref="L39:L41"/>
    <mergeCell ref="J18:J19"/>
    <mergeCell ref="L18:L19"/>
    <mergeCell ref="M18:M19"/>
    <mergeCell ref="P20:P22"/>
    <mergeCell ref="K20:K22"/>
    <mergeCell ref="L20:L22"/>
    <mergeCell ref="M20:M22"/>
    <mergeCell ref="AF18:AF19"/>
  </mergeCells>
  <conditionalFormatting sqref="J20 J23 AA23">
    <cfRule type="cellIs" dxfId="687" priority="927" operator="equal">
      <formula>"Muy Alta"</formula>
    </cfRule>
    <cfRule type="cellIs" dxfId="686" priority="928" operator="equal">
      <formula>"Alta"</formula>
    </cfRule>
    <cfRule type="cellIs" dxfId="685" priority="929" operator="equal">
      <formula>"Media"</formula>
    </cfRule>
    <cfRule type="cellIs" dxfId="684" priority="930" operator="equal">
      <formula>"Baja"</formula>
    </cfRule>
    <cfRule type="cellIs" dxfId="683" priority="931" operator="equal">
      <formula>"Muy Baja"</formula>
    </cfRule>
  </conditionalFormatting>
  <conditionalFormatting sqref="N20 N23:N24 N27:N28 AC23 N30:N34">
    <cfRule type="cellIs" dxfId="682" priority="922" operator="equal">
      <formula>"Catastrófico"</formula>
    </cfRule>
    <cfRule type="cellIs" dxfId="681" priority="923" operator="equal">
      <formula>"Mayor"</formula>
    </cfRule>
    <cfRule type="cellIs" dxfId="680" priority="924" operator="equal">
      <formula>"Moderado"</formula>
    </cfRule>
    <cfRule type="cellIs" dxfId="679" priority="925" operator="equal">
      <formula>"Menor"</formula>
    </cfRule>
    <cfRule type="cellIs" dxfId="678" priority="926" operator="equal">
      <formula>"Leve"</formula>
    </cfRule>
  </conditionalFormatting>
  <conditionalFormatting sqref="P20 AE23">
    <cfRule type="cellIs" dxfId="677" priority="918" operator="equal">
      <formula>"Extremo"</formula>
    </cfRule>
    <cfRule type="cellIs" dxfId="676" priority="919" operator="equal">
      <formula>"Alto"</formula>
    </cfRule>
    <cfRule type="cellIs" dxfId="675" priority="920" operator="equal">
      <formula>"Moderado"</formula>
    </cfRule>
    <cfRule type="cellIs" dxfId="674" priority="921" operator="equal">
      <formula>"Bajo"</formula>
    </cfRule>
  </conditionalFormatting>
  <conditionalFormatting sqref="AA20:AA22">
    <cfRule type="cellIs" dxfId="673" priority="913" operator="equal">
      <formula>"Muy Alta"</formula>
    </cfRule>
    <cfRule type="cellIs" dxfId="672" priority="914" operator="equal">
      <formula>"Alta"</formula>
    </cfRule>
    <cfRule type="cellIs" dxfId="671" priority="915" operator="equal">
      <formula>"Media"</formula>
    </cfRule>
    <cfRule type="cellIs" dxfId="670" priority="916" operator="equal">
      <formula>"Baja"</formula>
    </cfRule>
    <cfRule type="cellIs" dxfId="669" priority="917" operator="equal">
      <formula>"Muy Baja"</formula>
    </cfRule>
  </conditionalFormatting>
  <conditionalFormatting sqref="AC20:AC22">
    <cfRule type="cellIs" dxfId="668" priority="908" operator="equal">
      <formula>"Catastrófico"</formula>
    </cfRule>
    <cfRule type="cellIs" dxfId="667" priority="909" operator="equal">
      <formula>"Mayor"</formula>
    </cfRule>
    <cfRule type="cellIs" dxfId="666" priority="910" operator="equal">
      <formula>"Moderado"</formula>
    </cfRule>
    <cfRule type="cellIs" dxfId="665" priority="911" operator="equal">
      <formula>"Menor"</formula>
    </cfRule>
    <cfRule type="cellIs" dxfId="664" priority="912" operator="equal">
      <formula>"Leve"</formula>
    </cfRule>
  </conditionalFormatting>
  <conditionalFormatting sqref="AE20:AE22">
    <cfRule type="cellIs" dxfId="663" priority="904" operator="equal">
      <formula>"Extremo"</formula>
    </cfRule>
    <cfRule type="cellIs" dxfId="662" priority="905" operator="equal">
      <formula>"Alto"</formula>
    </cfRule>
    <cfRule type="cellIs" dxfId="661" priority="906" operator="equal">
      <formula>"Moderado"</formula>
    </cfRule>
    <cfRule type="cellIs" dxfId="660" priority="907" operator="equal">
      <formula>"Bajo"</formula>
    </cfRule>
  </conditionalFormatting>
  <conditionalFormatting sqref="P23">
    <cfRule type="cellIs" dxfId="659" priority="848" operator="equal">
      <formula>"Extremo"</formula>
    </cfRule>
    <cfRule type="cellIs" dxfId="658" priority="849" operator="equal">
      <formula>"Alto"</formula>
    </cfRule>
    <cfRule type="cellIs" dxfId="657" priority="850" operator="equal">
      <formula>"Moderado"</formula>
    </cfRule>
    <cfRule type="cellIs" dxfId="656" priority="851" operator="equal">
      <formula>"Bajo"</formula>
    </cfRule>
  </conditionalFormatting>
  <conditionalFormatting sqref="J24">
    <cfRule type="cellIs" dxfId="655" priority="829" operator="equal">
      <formula>"Muy Alta"</formula>
    </cfRule>
    <cfRule type="cellIs" dxfId="654" priority="830" operator="equal">
      <formula>"Alta"</formula>
    </cfRule>
    <cfRule type="cellIs" dxfId="653" priority="831" operator="equal">
      <formula>"Media"</formula>
    </cfRule>
    <cfRule type="cellIs" dxfId="652" priority="832" operator="equal">
      <formula>"Baja"</formula>
    </cfRule>
    <cfRule type="cellIs" dxfId="651" priority="833" operator="equal">
      <formula>"Muy Baja"</formula>
    </cfRule>
  </conditionalFormatting>
  <conditionalFormatting sqref="P24">
    <cfRule type="cellIs" dxfId="650" priority="820" operator="equal">
      <formula>"Extremo"</formula>
    </cfRule>
    <cfRule type="cellIs" dxfId="649" priority="821" operator="equal">
      <formula>"Alto"</formula>
    </cfRule>
    <cfRule type="cellIs" dxfId="648" priority="822" operator="equal">
      <formula>"Moderado"</formula>
    </cfRule>
    <cfRule type="cellIs" dxfId="647" priority="823" operator="equal">
      <formula>"Bajo"</formula>
    </cfRule>
  </conditionalFormatting>
  <conditionalFormatting sqref="AA24:AA26">
    <cfRule type="cellIs" dxfId="646" priority="815" operator="equal">
      <formula>"Muy Alta"</formula>
    </cfRule>
    <cfRule type="cellIs" dxfId="645" priority="816" operator="equal">
      <formula>"Alta"</formula>
    </cfRule>
    <cfRule type="cellIs" dxfId="644" priority="817" operator="equal">
      <formula>"Media"</formula>
    </cfRule>
    <cfRule type="cellIs" dxfId="643" priority="818" operator="equal">
      <formula>"Baja"</formula>
    </cfRule>
    <cfRule type="cellIs" dxfId="642" priority="819" operator="equal">
      <formula>"Muy Baja"</formula>
    </cfRule>
  </conditionalFormatting>
  <conditionalFormatting sqref="AC24:AC26">
    <cfRule type="cellIs" dxfId="641" priority="810" operator="equal">
      <formula>"Catastrófico"</formula>
    </cfRule>
    <cfRule type="cellIs" dxfId="640" priority="811" operator="equal">
      <formula>"Mayor"</formula>
    </cfRule>
    <cfRule type="cellIs" dxfId="639" priority="812" operator="equal">
      <formula>"Moderado"</formula>
    </cfRule>
    <cfRule type="cellIs" dxfId="638" priority="813" operator="equal">
      <formula>"Menor"</formula>
    </cfRule>
    <cfRule type="cellIs" dxfId="637" priority="814" operator="equal">
      <formula>"Leve"</formula>
    </cfRule>
  </conditionalFormatting>
  <conditionalFormatting sqref="AE24:AE26">
    <cfRule type="cellIs" dxfId="636" priority="806" operator="equal">
      <formula>"Extremo"</formula>
    </cfRule>
    <cfRule type="cellIs" dxfId="635" priority="807" operator="equal">
      <formula>"Alto"</formula>
    </cfRule>
    <cfRule type="cellIs" dxfId="634" priority="808" operator="equal">
      <formula>"Moderado"</formula>
    </cfRule>
    <cfRule type="cellIs" dxfId="633" priority="809" operator="equal">
      <formula>"Bajo"</formula>
    </cfRule>
  </conditionalFormatting>
  <conditionalFormatting sqref="J27:J28">
    <cfRule type="cellIs" dxfId="632" priority="801" operator="equal">
      <formula>"Muy Alta"</formula>
    </cfRule>
    <cfRule type="cellIs" dxfId="631" priority="802" operator="equal">
      <formula>"Alta"</formula>
    </cfRule>
    <cfRule type="cellIs" dxfId="630" priority="803" operator="equal">
      <formula>"Media"</formula>
    </cfRule>
    <cfRule type="cellIs" dxfId="629" priority="804" operator="equal">
      <formula>"Baja"</formula>
    </cfRule>
    <cfRule type="cellIs" dxfId="628" priority="805" operator="equal">
      <formula>"Muy Baja"</formula>
    </cfRule>
  </conditionalFormatting>
  <conditionalFormatting sqref="P27:P28">
    <cfRule type="cellIs" dxfId="627" priority="792" operator="equal">
      <formula>"Extremo"</formula>
    </cfRule>
    <cfRule type="cellIs" dxfId="626" priority="793" operator="equal">
      <formula>"Alto"</formula>
    </cfRule>
    <cfRule type="cellIs" dxfId="625" priority="794" operator="equal">
      <formula>"Moderado"</formula>
    </cfRule>
    <cfRule type="cellIs" dxfId="624" priority="795" operator="equal">
      <formula>"Bajo"</formula>
    </cfRule>
  </conditionalFormatting>
  <conditionalFormatting sqref="AA27:AA29">
    <cfRule type="cellIs" dxfId="623" priority="787" operator="equal">
      <formula>"Muy Alta"</formula>
    </cfRule>
    <cfRule type="cellIs" dxfId="622" priority="788" operator="equal">
      <formula>"Alta"</formula>
    </cfRule>
    <cfRule type="cellIs" dxfId="621" priority="789" operator="equal">
      <formula>"Media"</formula>
    </cfRule>
    <cfRule type="cellIs" dxfId="620" priority="790" operator="equal">
      <formula>"Baja"</formula>
    </cfRule>
    <cfRule type="cellIs" dxfId="619" priority="791" operator="equal">
      <formula>"Muy Baja"</formula>
    </cfRule>
  </conditionalFormatting>
  <conditionalFormatting sqref="AC27:AC29">
    <cfRule type="cellIs" dxfId="618" priority="782" operator="equal">
      <formula>"Catastrófico"</formula>
    </cfRule>
    <cfRule type="cellIs" dxfId="617" priority="783" operator="equal">
      <formula>"Mayor"</formula>
    </cfRule>
    <cfRule type="cellIs" dxfId="616" priority="784" operator="equal">
      <formula>"Moderado"</formula>
    </cfRule>
    <cfRule type="cellIs" dxfId="615" priority="785" operator="equal">
      <formula>"Menor"</formula>
    </cfRule>
    <cfRule type="cellIs" dxfId="614" priority="786" operator="equal">
      <formula>"Leve"</formula>
    </cfRule>
  </conditionalFormatting>
  <conditionalFormatting sqref="AE27:AE29">
    <cfRule type="cellIs" dxfId="613" priority="778" operator="equal">
      <formula>"Extremo"</formula>
    </cfRule>
    <cfRule type="cellIs" dxfId="612" priority="779" operator="equal">
      <formula>"Alto"</formula>
    </cfRule>
    <cfRule type="cellIs" dxfId="611" priority="780" operator="equal">
      <formula>"Moderado"</formula>
    </cfRule>
    <cfRule type="cellIs" dxfId="610" priority="781" operator="equal">
      <formula>"Bajo"</formula>
    </cfRule>
  </conditionalFormatting>
  <conditionalFormatting sqref="J30:J34">
    <cfRule type="cellIs" dxfId="609" priority="773" operator="equal">
      <formula>"Muy Alta"</formula>
    </cfRule>
    <cfRule type="cellIs" dxfId="608" priority="774" operator="equal">
      <formula>"Alta"</formula>
    </cfRule>
    <cfRule type="cellIs" dxfId="607" priority="775" operator="equal">
      <formula>"Media"</formula>
    </cfRule>
    <cfRule type="cellIs" dxfId="606" priority="776" operator="equal">
      <formula>"Baja"</formula>
    </cfRule>
    <cfRule type="cellIs" dxfId="605" priority="777" operator="equal">
      <formula>"Muy Baja"</formula>
    </cfRule>
  </conditionalFormatting>
  <conditionalFormatting sqref="P30:P34">
    <cfRule type="cellIs" dxfId="604" priority="764" operator="equal">
      <formula>"Extremo"</formula>
    </cfRule>
    <cfRule type="cellIs" dxfId="603" priority="765" operator="equal">
      <formula>"Alto"</formula>
    </cfRule>
    <cfRule type="cellIs" dxfId="602" priority="766" operator="equal">
      <formula>"Moderado"</formula>
    </cfRule>
    <cfRule type="cellIs" dxfId="601" priority="767" operator="equal">
      <formula>"Bajo"</formula>
    </cfRule>
  </conditionalFormatting>
  <conditionalFormatting sqref="AA30">
    <cfRule type="cellIs" dxfId="600" priority="759" operator="equal">
      <formula>"Muy Alta"</formula>
    </cfRule>
    <cfRule type="cellIs" dxfId="599" priority="760" operator="equal">
      <formula>"Alta"</formula>
    </cfRule>
    <cfRule type="cellIs" dxfId="598" priority="761" operator="equal">
      <formula>"Media"</formula>
    </cfRule>
    <cfRule type="cellIs" dxfId="597" priority="762" operator="equal">
      <formula>"Baja"</formula>
    </cfRule>
    <cfRule type="cellIs" dxfId="596" priority="763" operator="equal">
      <formula>"Muy Baja"</formula>
    </cfRule>
  </conditionalFormatting>
  <conditionalFormatting sqref="AC30:AC34">
    <cfRule type="cellIs" dxfId="595" priority="754" operator="equal">
      <formula>"Catastrófico"</formula>
    </cfRule>
    <cfRule type="cellIs" dxfId="594" priority="755" operator="equal">
      <formula>"Mayor"</formula>
    </cfRule>
    <cfRule type="cellIs" dxfId="593" priority="756" operator="equal">
      <formula>"Moderado"</formula>
    </cfRule>
    <cfRule type="cellIs" dxfId="592" priority="757" operator="equal">
      <formula>"Menor"</formula>
    </cfRule>
    <cfRule type="cellIs" dxfId="591" priority="758" operator="equal">
      <formula>"Leve"</formula>
    </cfRule>
  </conditionalFormatting>
  <conditionalFormatting sqref="AE30:AE34">
    <cfRule type="cellIs" dxfId="590" priority="750" operator="equal">
      <formula>"Extremo"</formula>
    </cfRule>
    <cfRule type="cellIs" dxfId="589" priority="751" operator="equal">
      <formula>"Alto"</formula>
    </cfRule>
    <cfRule type="cellIs" dxfId="588" priority="752" operator="equal">
      <formula>"Moderado"</formula>
    </cfRule>
    <cfRule type="cellIs" dxfId="587" priority="753" operator="equal">
      <formula>"Bajo"</formula>
    </cfRule>
  </conditionalFormatting>
  <conditionalFormatting sqref="M20:M30 M67 M69:M98 M35:M41">
    <cfRule type="containsText" dxfId="586" priority="609" operator="containsText" text="❌">
      <formula>NOT(ISERROR(SEARCH("❌",M20)))</formula>
    </cfRule>
  </conditionalFormatting>
  <conditionalFormatting sqref="J42 J44 AA46 AA48:AA49">
    <cfRule type="cellIs" dxfId="585" priority="604" operator="equal">
      <formula>"Muy Alta"</formula>
    </cfRule>
    <cfRule type="cellIs" dxfId="584" priority="605" operator="equal">
      <formula>"Alta"</formula>
    </cfRule>
    <cfRule type="cellIs" dxfId="583" priority="606" operator="equal">
      <formula>"Media"</formula>
    </cfRule>
    <cfRule type="cellIs" dxfId="582" priority="607" operator="equal">
      <formula>"Baja"</formula>
    </cfRule>
    <cfRule type="cellIs" dxfId="581" priority="608" operator="equal">
      <formula>"Muy Baja"</formula>
    </cfRule>
  </conditionalFormatting>
  <conditionalFormatting sqref="N42 N46 N50 N52:N53 N55:N56 N44 AC46:AC49 N48">
    <cfRule type="cellIs" dxfId="580" priority="599" operator="equal">
      <formula>"Catastrófico"</formula>
    </cfRule>
    <cfRule type="cellIs" dxfId="579" priority="600" operator="equal">
      <formula>"Mayor"</formula>
    </cfRule>
    <cfRule type="cellIs" dxfId="578" priority="601" operator="equal">
      <formula>"Moderado"</formula>
    </cfRule>
    <cfRule type="cellIs" dxfId="577" priority="602" operator="equal">
      <formula>"Menor"</formula>
    </cfRule>
    <cfRule type="cellIs" dxfId="576" priority="603" operator="equal">
      <formula>"Leve"</formula>
    </cfRule>
  </conditionalFormatting>
  <conditionalFormatting sqref="AE46:AE49">
    <cfRule type="cellIs" dxfId="575" priority="595" operator="equal">
      <formula>"Extremo"</formula>
    </cfRule>
    <cfRule type="cellIs" dxfId="574" priority="596" operator="equal">
      <formula>"Alto"</formula>
    </cfRule>
    <cfRule type="cellIs" dxfId="573" priority="597" operator="equal">
      <formula>"Moderado"</formula>
    </cfRule>
    <cfRule type="cellIs" dxfId="572" priority="598" operator="equal">
      <formula>"Bajo"</formula>
    </cfRule>
  </conditionalFormatting>
  <conditionalFormatting sqref="AA42:AA43">
    <cfRule type="cellIs" dxfId="571" priority="590" operator="equal">
      <formula>"Muy Alta"</formula>
    </cfRule>
    <cfRule type="cellIs" dxfId="570" priority="591" operator="equal">
      <formula>"Alta"</formula>
    </cfRule>
    <cfRule type="cellIs" dxfId="569" priority="592" operator="equal">
      <formula>"Media"</formula>
    </cfRule>
    <cfRule type="cellIs" dxfId="568" priority="593" operator="equal">
      <formula>"Baja"</formula>
    </cfRule>
    <cfRule type="cellIs" dxfId="567" priority="594" operator="equal">
      <formula>"Muy Baja"</formula>
    </cfRule>
  </conditionalFormatting>
  <conditionalFormatting sqref="AC42:AC43">
    <cfRule type="cellIs" dxfId="566" priority="585" operator="equal">
      <formula>"Catastrófico"</formula>
    </cfRule>
    <cfRule type="cellIs" dxfId="565" priority="586" operator="equal">
      <formula>"Mayor"</formula>
    </cfRule>
    <cfRule type="cellIs" dxfId="564" priority="587" operator="equal">
      <formula>"Moderado"</formula>
    </cfRule>
    <cfRule type="cellIs" dxfId="563" priority="588" operator="equal">
      <formula>"Menor"</formula>
    </cfRule>
    <cfRule type="cellIs" dxfId="562" priority="589" operator="equal">
      <formula>"Leve"</formula>
    </cfRule>
  </conditionalFormatting>
  <conditionalFormatting sqref="AE42:AE43">
    <cfRule type="cellIs" dxfId="561" priority="581" operator="equal">
      <formula>"Extremo"</formula>
    </cfRule>
    <cfRule type="cellIs" dxfId="560" priority="582" operator="equal">
      <formula>"Alto"</formula>
    </cfRule>
    <cfRule type="cellIs" dxfId="559" priority="583" operator="equal">
      <formula>"Moderado"</formula>
    </cfRule>
    <cfRule type="cellIs" dxfId="558" priority="584" operator="equal">
      <formula>"Bajo"</formula>
    </cfRule>
  </conditionalFormatting>
  <conditionalFormatting sqref="J55">
    <cfRule type="cellIs" dxfId="557" priority="494" operator="equal">
      <formula>"Muy Alta"</formula>
    </cfRule>
    <cfRule type="cellIs" dxfId="556" priority="495" operator="equal">
      <formula>"Alta"</formula>
    </cfRule>
    <cfRule type="cellIs" dxfId="555" priority="496" operator="equal">
      <formula>"Media"</formula>
    </cfRule>
    <cfRule type="cellIs" dxfId="554" priority="497" operator="equal">
      <formula>"Baja"</formula>
    </cfRule>
    <cfRule type="cellIs" dxfId="553" priority="498" operator="equal">
      <formula>"Muy Baja"</formula>
    </cfRule>
  </conditionalFormatting>
  <conditionalFormatting sqref="P44 P42">
    <cfRule type="cellIs" dxfId="552" priority="577" operator="equal">
      <formula>"Extremo"</formula>
    </cfRule>
    <cfRule type="cellIs" dxfId="551" priority="578" operator="equal">
      <formula>"Alto"</formula>
    </cfRule>
    <cfRule type="cellIs" dxfId="550" priority="579" operator="equal">
      <formula>"Moderado"</formula>
    </cfRule>
    <cfRule type="cellIs" dxfId="549" priority="580" operator="equal">
      <formula>"Bajo"</formula>
    </cfRule>
  </conditionalFormatting>
  <conditionalFormatting sqref="AA44:AA45">
    <cfRule type="cellIs" dxfId="548" priority="572" operator="equal">
      <formula>"Muy Alta"</formula>
    </cfRule>
    <cfRule type="cellIs" dxfId="547" priority="573" operator="equal">
      <formula>"Alta"</formula>
    </cfRule>
    <cfRule type="cellIs" dxfId="546" priority="574" operator="equal">
      <formula>"Media"</formula>
    </cfRule>
    <cfRule type="cellIs" dxfId="545" priority="575" operator="equal">
      <formula>"Baja"</formula>
    </cfRule>
    <cfRule type="cellIs" dxfId="544" priority="576" operator="equal">
      <formula>"Muy Baja"</formula>
    </cfRule>
  </conditionalFormatting>
  <conditionalFormatting sqref="AC44:AC45">
    <cfRule type="cellIs" dxfId="543" priority="567" operator="equal">
      <formula>"Catastrófico"</formula>
    </cfRule>
    <cfRule type="cellIs" dxfId="542" priority="568" operator="equal">
      <formula>"Mayor"</formula>
    </cfRule>
    <cfRule type="cellIs" dxfId="541" priority="569" operator="equal">
      <formula>"Moderado"</formula>
    </cfRule>
    <cfRule type="cellIs" dxfId="540" priority="570" operator="equal">
      <formula>"Menor"</formula>
    </cfRule>
    <cfRule type="cellIs" dxfId="539" priority="571" operator="equal">
      <formula>"Leve"</formula>
    </cfRule>
  </conditionalFormatting>
  <conditionalFormatting sqref="AE44:AE45">
    <cfRule type="cellIs" dxfId="538" priority="563" operator="equal">
      <formula>"Extremo"</formula>
    </cfRule>
    <cfRule type="cellIs" dxfId="537" priority="564" operator="equal">
      <formula>"Alto"</formula>
    </cfRule>
    <cfRule type="cellIs" dxfId="536" priority="565" operator="equal">
      <formula>"Moderado"</formula>
    </cfRule>
    <cfRule type="cellIs" dxfId="535" priority="566" operator="equal">
      <formula>"Bajo"</formula>
    </cfRule>
  </conditionalFormatting>
  <conditionalFormatting sqref="J46">
    <cfRule type="cellIs" dxfId="534" priority="558" operator="equal">
      <formula>"Muy Alta"</formula>
    </cfRule>
    <cfRule type="cellIs" dxfId="533" priority="559" operator="equal">
      <formula>"Alta"</formula>
    </cfRule>
    <cfRule type="cellIs" dxfId="532" priority="560" operator="equal">
      <formula>"Media"</formula>
    </cfRule>
    <cfRule type="cellIs" dxfId="531" priority="561" operator="equal">
      <formula>"Baja"</formula>
    </cfRule>
    <cfRule type="cellIs" dxfId="530" priority="562" operator="equal">
      <formula>"Muy Baja"</formula>
    </cfRule>
  </conditionalFormatting>
  <conditionalFormatting sqref="P46">
    <cfRule type="cellIs" dxfId="529" priority="554" operator="equal">
      <formula>"Extremo"</formula>
    </cfRule>
    <cfRule type="cellIs" dxfId="528" priority="555" operator="equal">
      <formula>"Alto"</formula>
    </cfRule>
    <cfRule type="cellIs" dxfId="527" priority="556" operator="equal">
      <formula>"Moderado"</formula>
    </cfRule>
    <cfRule type="cellIs" dxfId="526" priority="557" operator="equal">
      <formula>"Bajo"</formula>
    </cfRule>
  </conditionalFormatting>
  <conditionalFormatting sqref="J48">
    <cfRule type="cellIs" dxfId="525" priority="549" operator="equal">
      <formula>"Muy Alta"</formula>
    </cfRule>
    <cfRule type="cellIs" dxfId="524" priority="550" operator="equal">
      <formula>"Alta"</formula>
    </cfRule>
    <cfRule type="cellIs" dxfId="523" priority="551" operator="equal">
      <formula>"Media"</formula>
    </cfRule>
    <cfRule type="cellIs" dxfId="522" priority="552" operator="equal">
      <formula>"Baja"</formula>
    </cfRule>
    <cfRule type="cellIs" dxfId="521" priority="553" operator="equal">
      <formula>"Muy Baja"</formula>
    </cfRule>
  </conditionalFormatting>
  <conditionalFormatting sqref="P48">
    <cfRule type="cellIs" dxfId="520" priority="545" operator="equal">
      <formula>"Extremo"</formula>
    </cfRule>
    <cfRule type="cellIs" dxfId="519" priority="546" operator="equal">
      <formula>"Alto"</formula>
    </cfRule>
    <cfRule type="cellIs" dxfId="518" priority="547" operator="equal">
      <formula>"Moderado"</formula>
    </cfRule>
    <cfRule type="cellIs" dxfId="517" priority="548" operator="equal">
      <formula>"Bajo"</formula>
    </cfRule>
  </conditionalFormatting>
  <conditionalFormatting sqref="J50">
    <cfRule type="cellIs" dxfId="516" priority="540" operator="equal">
      <formula>"Muy Alta"</formula>
    </cfRule>
    <cfRule type="cellIs" dxfId="515" priority="541" operator="equal">
      <formula>"Alta"</formula>
    </cfRule>
    <cfRule type="cellIs" dxfId="514" priority="542" operator="equal">
      <formula>"Media"</formula>
    </cfRule>
    <cfRule type="cellIs" dxfId="513" priority="543" operator="equal">
      <formula>"Baja"</formula>
    </cfRule>
    <cfRule type="cellIs" dxfId="512" priority="544" operator="equal">
      <formula>"Muy Baja"</formula>
    </cfRule>
  </conditionalFormatting>
  <conditionalFormatting sqref="P50">
    <cfRule type="cellIs" dxfId="511" priority="536" operator="equal">
      <formula>"Extremo"</formula>
    </cfRule>
    <cfRule type="cellIs" dxfId="510" priority="537" operator="equal">
      <formula>"Alto"</formula>
    </cfRule>
    <cfRule type="cellIs" dxfId="509" priority="538" operator="equal">
      <formula>"Moderado"</formula>
    </cfRule>
    <cfRule type="cellIs" dxfId="508" priority="539" operator="equal">
      <formula>"Bajo"</formula>
    </cfRule>
  </conditionalFormatting>
  <conditionalFormatting sqref="AA50:AA53">
    <cfRule type="cellIs" dxfId="507" priority="531" operator="equal">
      <formula>"Muy Alta"</formula>
    </cfRule>
    <cfRule type="cellIs" dxfId="506" priority="532" operator="equal">
      <formula>"Alta"</formula>
    </cfRule>
    <cfRule type="cellIs" dxfId="505" priority="533" operator="equal">
      <formula>"Media"</formula>
    </cfRule>
    <cfRule type="cellIs" dxfId="504" priority="534" operator="equal">
      <formula>"Baja"</formula>
    </cfRule>
    <cfRule type="cellIs" dxfId="503" priority="535" operator="equal">
      <formula>"Muy Baja"</formula>
    </cfRule>
  </conditionalFormatting>
  <conditionalFormatting sqref="AC50:AC51">
    <cfRule type="cellIs" dxfId="502" priority="526" operator="equal">
      <formula>"Catastrófico"</formula>
    </cfRule>
    <cfRule type="cellIs" dxfId="501" priority="527" operator="equal">
      <formula>"Mayor"</formula>
    </cfRule>
    <cfRule type="cellIs" dxfId="500" priority="528" operator="equal">
      <formula>"Moderado"</formula>
    </cfRule>
    <cfRule type="cellIs" dxfId="499" priority="529" operator="equal">
      <formula>"Menor"</formula>
    </cfRule>
    <cfRule type="cellIs" dxfId="498" priority="530" operator="equal">
      <formula>"Leve"</formula>
    </cfRule>
  </conditionalFormatting>
  <conditionalFormatting sqref="AE50:AE51">
    <cfRule type="cellIs" dxfId="497" priority="522" operator="equal">
      <formula>"Extremo"</formula>
    </cfRule>
    <cfRule type="cellIs" dxfId="496" priority="523" operator="equal">
      <formula>"Alto"</formula>
    </cfRule>
    <cfRule type="cellIs" dxfId="495" priority="524" operator="equal">
      <formula>"Moderado"</formula>
    </cfRule>
    <cfRule type="cellIs" dxfId="494" priority="525" operator="equal">
      <formula>"Bajo"</formula>
    </cfRule>
  </conditionalFormatting>
  <conditionalFormatting sqref="J52:J53">
    <cfRule type="cellIs" dxfId="493" priority="517" operator="equal">
      <formula>"Muy Alta"</formula>
    </cfRule>
    <cfRule type="cellIs" dxfId="492" priority="518" operator="equal">
      <formula>"Alta"</formula>
    </cfRule>
    <cfRule type="cellIs" dxfId="491" priority="519" operator="equal">
      <formula>"Media"</formula>
    </cfRule>
    <cfRule type="cellIs" dxfId="490" priority="520" operator="equal">
      <formula>"Baja"</formula>
    </cfRule>
    <cfRule type="cellIs" dxfId="489" priority="521" operator="equal">
      <formula>"Muy Baja"</formula>
    </cfRule>
  </conditionalFormatting>
  <conditionalFormatting sqref="P52:P53">
    <cfRule type="cellIs" dxfId="488" priority="513" operator="equal">
      <formula>"Extremo"</formula>
    </cfRule>
    <cfRule type="cellIs" dxfId="487" priority="514" operator="equal">
      <formula>"Alto"</formula>
    </cfRule>
    <cfRule type="cellIs" dxfId="486" priority="515" operator="equal">
      <formula>"Moderado"</formula>
    </cfRule>
    <cfRule type="cellIs" dxfId="485" priority="516" operator="equal">
      <formula>"Bajo"</formula>
    </cfRule>
  </conditionalFormatting>
  <conditionalFormatting sqref="AA54">
    <cfRule type="cellIs" dxfId="484" priority="508" operator="equal">
      <formula>"Muy Alta"</formula>
    </cfRule>
    <cfRule type="cellIs" dxfId="483" priority="509" operator="equal">
      <formula>"Alta"</formula>
    </cfRule>
    <cfRule type="cellIs" dxfId="482" priority="510" operator="equal">
      <formula>"Media"</formula>
    </cfRule>
    <cfRule type="cellIs" dxfId="481" priority="511" operator="equal">
      <formula>"Baja"</formula>
    </cfRule>
    <cfRule type="cellIs" dxfId="480" priority="512" operator="equal">
      <formula>"Muy Baja"</formula>
    </cfRule>
  </conditionalFormatting>
  <conditionalFormatting sqref="AC52:AC54">
    <cfRule type="cellIs" dxfId="479" priority="503" operator="equal">
      <formula>"Catastrófico"</formula>
    </cfRule>
    <cfRule type="cellIs" dxfId="478" priority="504" operator="equal">
      <formula>"Mayor"</formula>
    </cfRule>
    <cfRule type="cellIs" dxfId="477" priority="505" operator="equal">
      <formula>"Moderado"</formula>
    </cfRule>
    <cfRule type="cellIs" dxfId="476" priority="506" operator="equal">
      <formula>"Menor"</formula>
    </cfRule>
    <cfRule type="cellIs" dxfId="475" priority="507" operator="equal">
      <formula>"Leve"</formula>
    </cfRule>
  </conditionalFormatting>
  <conditionalFormatting sqref="AE52:AE54">
    <cfRule type="cellIs" dxfId="474" priority="499" operator="equal">
      <formula>"Extremo"</formula>
    </cfRule>
    <cfRule type="cellIs" dxfId="473" priority="500" operator="equal">
      <formula>"Alto"</formula>
    </cfRule>
    <cfRule type="cellIs" dxfId="472" priority="501" operator="equal">
      <formula>"Moderado"</formula>
    </cfRule>
    <cfRule type="cellIs" dxfId="471" priority="502" operator="equal">
      <formula>"Bajo"</formula>
    </cfRule>
  </conditionalFormatting>
  <conditionalFormatting sqref="P55">
    <cfRule type="cellIs" dxfId="470" priority="490" operator="equal">
      <formula>"Extremo"</formula>
    </cfRule>
    <cfRule type="cellIs" dxfId="469" priority="491" operator="equal">
      <formula>"Alto"</formula>
    </cfRule>
    <cfRule type="cellIs" dxfId="468" priority="492" operator="equal">
      <formula>"Moderado"</formula>
    </cfRule>
    <cfRule type="cellIs" dxfId="467" priority="493" operator="equal">
      <formula>"Bajo"</formula>
    </cfRule>
  </conditionalFormatting>
  <conditionalFormatting sqref="AA55">
    <cfRule type="cellIs" dxfId="466" priority="485" operator="equal">
      <formula>"Muy Alta"</formula>
    </cfRule>
    <cfRule type="cellIs" dxfId="465" priority="486" operator="equal">
      <formula>"Alta"</formula>
    </cfRule>
    <cfRule type="cellIs" dxfId="464" priority="487" operator="equal">
      <formula>"Media"</formula>
    </cfRule>
    <cfRule type="cellIs" dxfId="463" priority="488" operator="equal">
      <formula>"Baja"</formula>
    </cfRule>
    <cfRule type="cellIs" dxfId="462" priority="489" operator="equal">
      <formula>"Muy Baja"</formula>
    </cfRule>
  </conditionalFormatting>
  <conditionalFormatting sqref="AC55">
    <cfRule type="cellIs" dxfId="461" priority="480" operator="equal">
      <formula>"Catastrófico"</formula>
    </cfRule>
    <cfRule type="cellIs" dxfId="460" priority="481" operator="equal">
      <formula>"Mayor"</formula>
    </cfRule>
    <cfRule type="cellIs" dxfId="459" priority="482" operator="equal">
      <formula>"Moderado"</formula>
    </cfRule>
    <cfRule type="cellIs" dxfId="458" priority="483" operator="equal">
      <formula>"Menor"</formula>
    </cfRule>
    <cfRule type="cellIs" dxfId="457" priority="484" operator="equal">
      <formula>"Leve"</formula>
    </cfRule>
  </conditionalFormatting>
  <conditionalFormatting sqref="AE55">
    <cfRule type="cellIs" dxfId="456" priority="476" operator="equal">
      <formula>"Extremo"</formula>
    </cfRule>
    <cfRule type="cellIs" dxfId="455" priority="477" operator="equal">
      <formula>"Alto"</formula>
    </cfRule>
    <cfRule type="cellIs" dxfId="454" priority="478" operator="equal">
      <formula>"Moderado"</formula>
    </cfRule>
    <cfRule type="cellIs" dxfId="453" priority="479" operator="equal">
      <formula>"Bajo"</formula>
    </cfRule>
  </conditionalFormatting>
  <conditionalFormatting sqref="J56">
    <cfRule type="cellIs" dxfId="452" priority="471" operator="equal">
      <formula>"Muy Alta"</formula>
    </cfRule>
    <cfRule type="cellIs" dxfId="451" priority="472" operator="equal">
      <formula>"Alta"</formula>
    </cfRule>
    <cfRule type="cellIs" dxfId="450" priority="473" operator="equal">
      <formula>"Media"</formula>
    </cfRule>
    <cfRule type="cellIs" dxfId="449" priority="474" operator="equal">
      <formula>"Baja"</formula>
    </cfRule>
    <cfRule type="cellIs" dxfId="448" priority="475" operator="equal">
      <formula>"Muy Baja"</formula>
    </cfRule>
  </conditionalFormatting>
  <conditionalFormatting sqref="P56">
    <cfRule type="cellIs" dxfId="447" priority="467" operator="equal">
      <formula>"Extremo"</formula>
    </cfRule>
    <cfRule type="cellIs" dxfId="446" priority="468" operator="equal">
      <formula>"Alto"</formula>
    </cfRule>
    <cfRule type="cellIs" dxfId="445" priority="469" operator="equal">
      <formula>"Moderado"</formula>
    </cfRule>
    <cfRule type="cellIs" dxfId="444" priority="470" operator="equal">
      <formula>"Bajo"</formula>
    </cfRule>
  </conditionalFormatting>
  <conditionalFormatting sqref="AA56">
    <cfRule type="cellIs" dxfId="443" priority="462" operator="equal">
      <formula>"Muy Alta"</formula>
    </cfRule>
    <cfRule type="cellIs" dxfId="442" priority="463" operator="equal">
      <formula>"Alta"</formula>
    </cfRule>
    <cfRule type="cellIs" dxfId="441" priority="464" operator="equal">
      <formula>"Media"</formula>
    </cfRule>
    <cfRule type="cellIs" dxfId="440" priority="465" operator="equal">
      <formula>"Baja"</formula>
    </cfRule>
    <cfRule type="cellIs" dxfId="439" priority="466" operator="equal">
      <formula>"Muy Baja"</formula>
    </cfRule>
  </conditionalFormatting>
  <conditionalFormatting sqref="AC56">
    <cfRule type="cellIs" dxfId="438" priority="457" operator="equal">
      <formula>"Catastrófico"</formula>
    </cfRule>
    <cfRule type="cellIs" dxfId="437" priority="458" operator="equal">
      <formula>"Mayor"</formula>
    </cfRule>
    <cfRule type="cellIs" dxfId="436" priority="459" operator="equal">
      <formula>"Moderado"</formula>
    </cfRule>
    <cfRule type="cellIs" dxfId="435" priority="460" operator="equal">
      <formula>"Menor"</formula>
    </cfRule>
    <cfRule type="cellIs" dxfId="434" priority="461" operator="equal">
      <formula>"Leve"</formula>
    </cfRule>
  </conditionalFormatting>
  <conditionalFormatting sqref="AE56">
    <cfRule type="cellIs" dxfId="433" priority="453" operator="equal">
      <formula>"Extremo"</formula>
    </cfRule>
    <cfRule type="cellIs" dxfId="432" priority="454" operator="equal">
      <formula>"Alto"</formula>
    </cfRule>
    <cfRule type="cellIs" dxfId="431" priority="455" operator="equal">
      <formula>"Moderado"</formula>
    </cfRule>
    <cfRule type="cellIs" dxfId="430" priority="456" operator="equal">
      <formula>"Bajo"</formula>
    </cfRule>
  </conditionalFormatting>
  <conditionalFormatting sqref="M42:M56">
    <cfRule type="containsText" dxfId="429" priority="452" operator="containsText" text="❌">
      <formula>NOT(ISERROR(SEARCH("❌",M42)))</formula>
    </cfRule>
  </conditionalFormatting>
  <conditionalFormatting sqref="J57:J58 AA59:AA63">
    <cfRule type="cellIs" dxfId="428" priority="447" operator="equal">
      <formula>"Muy Alta"</formula>
    </cfRule>
    <cfRule type="cellIs" dxfId="427" priority="448" operator="equal">
      <formula>"Alta"</formula>
    </cfRule>
    <cfRule type="cellIs" dxfId="426" priority="449" operator="equal">
      <formula>"Media"</formula>
    </cfRule>
    <cfRule type="cellIs" dxfId="425" priority="450" operator="equal">
      <formula>"Baja"</formula>
    </cfRule>
    <cfRule type="cellIs" dxfId="424" priority="451" operator="equal">
      <formula>"Muy Baja"</formula>
    </cfRule>
  </conditionalFormatting>
  <conditionalFormatting sqref="N57:N63 AC59:AC63">
    <cfRule type="cellIs" dxfId="423" priority="442" operator="equal">
      <formula>"Catastrófico"</formula>
    </cfRule>
    <cfRule type="cellIs" dxfId="422" priority="443" operator="equal">
      <formula>"Mayor"</formula>
    </cfRule>
    <cfRule type="cellIs" dxfId="421" priority="444" operator="equal">
      <formula>"Moderado"</formula>
    </cfRule>
    <cfRule type="cellIs" dxfId="420" priority="445" operator="equal">
      <formula>"Menor"</formula>
    </cfRule>
    <cfRule type="cellIs" dxfId="419" priority="446" operator="equal">
      <formula>"Leve"</formula>
    </cfRule>
  </conditionalFormatting>
  <conditionalFormatting sqref="P57 AE59:AE63">
    <cfRule type="cellIs" dxfId="418" priority="438" operator="equal">
      <formula>"Extremo"</formula>
    </cfRule>
    <cfRule type="cellIs" dxfId="417" priority="439" operator="equal">
      <formula>"Alto"</formula>
    </cfRule>
    <cfRule type="cellIs" dxfId="416" priority="440" operator="equal">
      <formula>"Moderado"</formula>
    </cfRule>
    <cfRule type="cellIs" dxfId="415" priority="441" operator="equal">
      <formula>"Bajo"</formula>
    </cfRule>
  </conditionalFormatting>
  <conditionalFormatting sqref="AA57">
    <cfRule type="cellIs" dxfId="414" priority="433" operator="equal">
      <formula>"Muy Alta"</formula>
    </cfRule>
    <cfRule type="cellIs" dxfId="413" priority="434" operator="equal">
      <formula>"Alta"</formula>
    </cfRule>
    <cfRule type="cellIs" dxfId="412" priority="435" operator="equal">
      <formula>"Media"</formula>
    </cfRule>
    <cfRule type="cellIs" dxfId="411" priority="436" operator="equal">
      <formula>"Baja"</formula>
    </cfRule>
    <cfRule type="cellIs" dxfId="410" priority="437" operator="equal">
      <formula>"Muy Baja"</formula>
    </cfRule>
  </conditionalFormatting>
  <conditionalFormatting sqref="AC57">
    <cfRule type="cellIs" dxfId="409" priority="428" operator="equal">
      <formula>"Catastrófico"</formula>
    </cfRule>
    <cfRule type="cellIs" dxfId="408" priority="429" operator="equal">
      <formula>"Mayor"</formula>
    </cfRule>
    <cfRule type="cellIs" dxfId="407" priority="430" operator="equal">
      <formula>"Moderado"</formula>
    </cfRule>
    <cfRule type="cellIs" dxfId="406" priority="431" operator="equal">
      <formula>"Menor"</formula>
    </cfRule>
    <cfRule type="cellIs" dxfId="405" priority="432" operator="equal">
      <formula>"Leve"</formula>
    </cfRule>
  </conditionalFormatting>
  <conditionalFormatting sqref="AE57">
    <cfRule type="cellIs" dxfId="404" priority="424" operator="equal">
      <formula>"Extremo"</formula>
    </cfRule>
    <cfRule type="cellIs" dxfId="403" priority="425" operator="equal">
      <formula>"Alto"</formula>
    </cfRule>
    <cfRule type="cellIs" dxfId="402" priority="426" operator="equal">
      <formula>"Moderado"</formula>
    </cfRule>
    <cfRule type="cellIs" dxfId="401" priority="427" operator="equal">
      <formula>"Bajo"</formula>
    </cfRule>
  </conditionalFormatting>
  <conditionalFormatting sqref="P58">
    <cfRule type="cellIs" dxfId="400" priority="420" operator="equal">
      <formula>"Extremo"</formula>
    </cfRule>
    <cfRule type="cellIs" dxfId="399" priority="421" operator="equal">
      <formula>"Alto"</formula>
    </cfRule>
    <cfRule type="cellIs" dxfId="398" priority="422" operator="equal">
      <formula>"Moderado"</formula>
    </cfRule>
    <cfRule type="cellIs" dxfId="397" priority="423" operator="equal">
      <formula>"Bajo"</formula>
    </cfRule>
  </conditionalFormatting>
  <conditionalFormatting sqref="AA58">
    <cfRule type="cellIs" dxfId="396" priority="415" operator="equal">
      <formula>"Muy Alta"</formula>
    </cfRule>
    <cfRule type="cellIs" dxfId="395" priority="416" operator="equal">
      <formula>"Alta"</formula>
    </cfRule>
    <cfRule type="cellIs" dxfId="394" priority="417" operator="equal">
      <formula>"Media"</formula>
    </cfRule>
    <cfRule type="cellIs" dxfId="393" priority="418" operator="equal">
      <formula>"Baja"</formula>
    </cfRule>
    <cfRule type="cellIs" dxfId="392" priority="419" operator="equal">
      <formula>"Muy Baja"</formula>
    </cfRule>
  </conditionalFormatting>
  <conditionalFormatting sqref="AC58">
    <cfRule type="cellIs" dxfId="391" priority="410" operator="equal">
      <formula>"Catastrófico"</formula>
    </cfRule>
    <cfRule type="cellIs" dxfId="390" priority="411" operator="equal">
      <formula>"Mayor"</formula>
    </cfRule>
    <cfRule type="cellIs" dxfId="389" priority="412" operator="equal">
      <formula>"Moderado"</formula>
    </cfRule>
    <cfRule type="cellIs" dxfId="388" priority="413" operator="equal">
      <formula>"Menor"</formula>
    </cfRule>
    <cfRule type="cellIs" dxfId="387" priority="414" operator="equal">
      <formula>"Leve"</formula>
    </cfRule>
  </conditionalFormatting>
  <conditionalFormatting sqref="AE58">
    <cfRule type="cellIs" dxfId="386" priority="406" operator="equal">
      <formula>"Extremo"</formula>
    </cfRule>
    <cfRule type="cellIs" dxfId="385" priority="407" operator="equal">
      <formula>"Alto"</formula>
    </cfRule>
    <cfRule type="cellIs" dxfId="384" priority="408" operator="equal">
      <formula>"Moderado"</formula>
    </cfRule>
    <cfRule type="cellIs" dxfId="383" priority="409" operator="equal">
      <formula>"Bajo"</formula>
    </cfRule>
  </conditionalFormatting>
  <conditionalFormatting sqref="J59">
    <cfRule type="cellIs" dxfId="382" priority="401" operator="equal">
      <formula>"Muy Alta"</formula>
    </cfRule>
    <cfRule type="cellIs" dxfId="381" priority="402" operator="equal">
      <formula>"Alta"</formula>
    </cfRule>
    <cfRule type="cellIs" dxfId="380" priority="403" operator="equal">
      <formula>"Media"</formula>
    </cfRule>
    <cfRule type="cellIs" dxfId="379" priority="404" operator="equal">
      <formula>"Baja"</formula>
    </cfRule>
    <cfRule type="cellIs" dxfId="378" priority="405" operator="equal">
      <formula>"Muy Baja"</formula>
    </cfRule>
  </conditionalFormatting>
  <conditionalFormatting sqref="P59">
    <cfRule type="cellIs" dxfId="377" priority="397" operator="equal">
      <formula>"Extremo"</formula>
    </cfRule>
    <cfRule type="cellIs" dxfId="376" priority="398" operator="equal">
      <formula>"Alto"</formula>
    </cfRule>
    <cfRule type="cellIs" dxfId="375" priority="399" operator="equal">
      <formula>"Moderado"</formula>
    </cfRule>
    <cfRule type="cellIs" dxfId="374" priority="400" operator="equal">
      <formula>"Bajo"</formula>
    </cfRule>
  </conditionalFormatting>
  <conditionalFormatting sqref="J60">
    <cfRule type="cellIs" dxfId="373" priority="392" operator="equal">
      <formula>"Muy Alta"</formula>
    </cfRule>
    <cfRule type="cellIs" dxfId="372" priority="393" operator="equal">
      <formula>"Alta"</formula>
    </cfRule>
    <cfRule type="cellIs" dxfId="371" priority="394" operator="equal">
      <formula>"Media"</formula>
    </cfRule>
    <cfRule type="cellIs" dxfId="370" priority="395" operator="equal">
      <formula>"Baja"</formula>
    </cfRule>
    <cfRule type="cellIs" dxfId="369" priority="396" operator="equal">
      <formula>"Muy Baja"</formula>
    </cfRule>
  </conditionalFormatting>
  <conditionalFormatting sqref="P60">
    <cfRule type="cellIs" dxfId="368" priority="388" operator="equal">
      <formula>"Extremo"</formula>
    </cfRule>
    <cfRule type="cellIs" dxfId="367" priority="389" operator="equal">
      <formula>"Alto"</formula>
    </cfRule>
    <cfRule type="cellIs" dxfId="366" priority="390" operator="equal">
      <formula>"Moderado"</formula>
    </cfRule>
    <cfRule type="cellIs" dxfId="365" priority="391" operator="equal">
      <formula>"Bajo"</formula>
    </cfRule>
  </conditionalFormatting>
  <conditionalFormatting sqref="J61">
    <cfRule type="cellIs" dxfId="364" priority="383" operator="equal">
      <formula>"Muy Alta"</formula>
    </cfRule>
    <cfRule type="cellIs" dxfId="363" priority="384" operator="equal">
      <formula>"Alta"</formula>
    </cfRule>
    <cfRule type="cellIs" dxfId="362" priority="385" operator="equal">
      <formula>"Media"</formula>
    </cfRule>
    <cfRule type="cellIs" dxfId="361" priority="386" operator="equal">
      <formula>"Baja"</formula>
    </cfRule>
    <cfRule type="cellIs" dxfId="360" priority="387" operator="equal">
      <formula>"Muy Baja"</formula>
    </cfRule>
  </conditionalFormatting>
  <conditionalFormatting sqref="P61">
    <cfRule type="cellIs" dxfId="359" priority="379" operator="equal">
      <formula>"Extremo"</formula>
    </cfRule>
    <cfRule type="cellIs" dxfId="358" priority="380" operator="equal">
      <formula>"Alto"</formula>
    </cfRule>
    <cfRule type="cellIs" dxfId="357" priority="381" operator="equal">
      <formula>"Moderado"</formula>
    </cfRule>
    <cfRule type="cellIs" dxfId="356" priority="382" operator="equal">
      <formula>"Bajo"</formula>
    </cfRule>
  </conditionalFormatting>
  <conditionalFormatting sqref="J62">
    <cfRule type="cellIs" dxfId="355" priority="374" operator="equal">
      <formula>"Muy Alta"</formula>
    </cfRule>
    <cfRule type="cellIs" dxfId="354" priority="375" operator="equal">
      <formula>"Alta"</formula>
    </cfRule>
    <cfRule type="cellIs" dxfId="353" priority="376" operator="equal">
      <formula>"Media"</formula>
    </cfRule>
    <cfRule type="cellIs" dxfId="352" priority="377" operator="equal">
      <formula>"Baja"</formula>
    </cfRule>
    <cfRule type="cellIs" dxfId="351" priority="378" operator="equal">
      <formula>"Muy Baja"</formula>
    </cfRule>
  </conditionalFormatting>
  <conditionalFormatting sqref="P62">
    <cfRule type="cellIs" dxfId="350" priority="370" operator="equal">
      <formula>"Extremo"</formula>
    </cfRule>
    <cfRule type="cellIs" dxfId="349" priority="371" operator="equal">
      <formula>"Alto"</formula>
    </cfRule>
    <cfRule type="cellIs" dxfId="348" priority="372" operator="equal">
      <formula>"Moderado"</formula>
    </cfRule>
    <cfRule type="cellIs" dxfId="347" priority="373" operator="equal">
      <formula>"Bajo"</formula>
    </cfRule>
  </conditionalFormatting>
  <conditionalFormatting sqref="J63">
    <cfRule type="cellIs" dxfId="346" priority="365" operator="equal">
      <formula>"Muy Alta"</formula>
    </cfRule>
    <cfRule type="cellIs" dxfId="345" priority="366" operator="equal">
      <formula>"Alta"</formula>
    </cfRule>
    <cfRule type="cellIs" dxfId="344" priority="367" operator="equal">
      <formula>"Media"</formula>
    </cfRule>
    <cfRule type="cellIs" dxfId="343" priority="368" operator="equal">
      <formula>"Baja"</formula>
    </cfRule>
    <cfRule type="cellIs" dxfId="342" priority="369" operator="equal">
      <formula>"Muy Baja"</formula>
    </cfRule>
  </conditionalFormatting>
  <conditionalFormatting sqref="P63">
    <cfRule type="cellIs" dxfId="341" priority="361" operator="equal">
      <formula>"Extremo"</formula>
    </cfRule>
    <cfRule type="cellIs" dxfId="340" priority="362" operator="equal">
      <formula>"Alto"</formula>
    </cfRule>
    <cfRule type="cellIs" dxfId="339" priority="363" operator="equal">
      <formula>"Moderado"</formula>
    </cfRule>
    <cfRule type="cellIs" dxfId="338" priority="364" operator="equal">
      <formula>"Bajo"</formula>
    </cfRule>
  </conditionalFormatting>
  <conditionalFormatting sqref="M57:M63">
    <cfRule type="containsText" dxfId="337" priority="360" operator="containsText" text="❌">
      <formula>NOT(ISERROR(SEARCH("❌",M57)))</formula>
    </cfRule>
  </conditionalFormatting>
  <conditionalFormatting sqref="J67:J68">
    <cfRule type="cellIs" dxfId="336" priority="355" operator="equal">
      <formula>"Muy Alta"</formula>
    </cfRule>
    <cfRule type="cellIs" dxfId="335" priority="356" operator="equal">
      <formula>"Alta"</formula>
    </cfRule>
    <cfRule type="cellIs" dxfId="334" priority="357" operator="equal">
      <formula>"Media"</formula>
    </cfRule>
    <cfRule type="cellIs" dxfId="333" priority="358" operator="equal">
      <formula>"Baja"</formula>
    </cfRule>
    <cfRule type="cellIs" dxfId="332" priority="359" operator="equal">
      <formula>"Muy Baja"</formula>
    </cfRule>
  </conditionalFormatting>
  <conditionalFormatting sqref="N67 N69:N70">
    <cfRule type="cellIs" dxfId="331" priority="350" operator="equal">
      <formula>"Catastrófico"</formula>
    </cfRule>
    <cfRule type="cellIs" dxfId="330" priority="351" operator="equal">
      <formula>"Mayor"</formula>
    </cfRule>
    <cfRule type="cellIs" dxfId="329" priority="352" operator="equal">
      <formula>"Moderado"</formula>
    </cfRule>
    <cfRule type="cellIs" dxfId="328" priority="353" operator="equal">
      <formula>"Menor"</formula>
    </cfRule>
    <cfRule type="cellIs" dxfId="327" priority="354" operator="equal">
      <formula>"Leve"</formula>
    </cfRule>
  </conditionalFormatting>
  <conditionalFormatting sqref="P67">
    <cfRule type="cellIs" dxfId="326" priority="346" operator="equal">
      <formula>"Extremo"</formula>
    </cfRule>
    <cfRule type="cellIs" dxfId="325" priority="347" operator="equal">
      <formula>"Alto"</formula>
    </cfRule>
    <cfRule type="cellIs" dxfId="324" priority="348" operator="equal">
      <formula>"Moderado"</formula>
    </cfRule>
    <cfRule type="cellIs" dxfId="323" priority="349" operator="equal">
      <formula>"Bajo"</formula>
    </cfRule>
  </conditionalFormatting>
  <conditionalFormatting sqref="AA67">
    <cfRule type="cellIs" dxfId="322" priority="341" operator="equal">
      <formula>"Muy Alta"</formula>
    </cfRule>
    <cfRule type="cellIs" dxfId="321" priority="342" operator="equal">
      <formula>"Alta"</formula>
    </cfRule>
    <cfRule type="cellIs" dxfId="320" priority="343" operator="equal">
      <formula>"Media"</formula>
    </cfRule>
    <cfRule type="cellIs" dxfId="319" priority="344" operator="equal">
      <formula>"Baja"</formula>
    </cfRule>
    <cfRule type="cellIs" dxfId="318" priority="345" operator="equal">
      <formula>"Muy Baja"</formula>
    </cfRule>
  </conditionalFormatting>
  <conditionalFormatting sqref="AC67:AC68">
    <cfRule type="cellIs" dxfId="317" priority="336" operator="equal">
      <formula>"Catastrófico"</formula>
    </cfRule>
    <cfRule type="cellIs" dxfId="316" priority="337" operator="equal">
      <formula>"Mayor"</formula>
    </cfRule>
    <cfRule type="cellIs" dxfId="315" priority="338" operator="equal">
      <formula>"Moderado"</formula>
    </cfRule>
    <cfRule type="cellIs" dxfId="314" priority="339" operator="equal">
      <formula>"Menor"</formula>
    </cfRule>
    <cfRule type="cellIs" dxfId="313" priority="340" operator="equal">
      <formula>"Leve"</formula>
    </cfRule>
  </conditionalFormatting>
  <conditionalFormatting sqref="AE67:AE68">
    <cfRule type="cellIs" dxfId="312" priority="332" operator="equal">
      <formula>"Extremo"</formula>
    </cfRule>
    <cfRule type="cellIs" dxfId="311" priority="333" operator="equal">
      <formula>"Alto"</formula>
    </cfRule>
    <cfRule type="cellIs" dxfId="310" priority="334" operator="equal">
      <formula>"Moderado"</formula>
    </cfRule>
    <cfRule type="cellIs" dxfId="309" priority="335" operator="equal">
      <formula>"Bajo"</formula>
    </cfRule>
  </conditionalFormatting>
  <conditionalFormatting sqref="AA68">
    <cfRule type="cellIs" dxfId="308" priority="323" operator="equal">
      <formula>"Muy Alta"</formula>
    </cfRule>
    <cfRule type="cellIs" dxfId="307" priority="324" operator="equal">
      <formula>"Alta"</formula>
    </cfRule>
    <cfRule type="cellIs" dxfId="306" priority="325" operator="equal">
      <formula>"Media"</formula>
    </cfRule>
    <cfRule type="cellIs" dxfId="305" priority="326" operator="equal">
      <formula>"Baja"</formula>
    </cfRule>
    <cfRule type="cellIs" dxfId="304" priority="327" operator="equal">
      <formula>"Muy Baja"</formula>
    </cfRule>
  </conditionalFormatting>
  <conditionalFormatting sqref="J69">
    <cfRule type="cellIs" dxfId="303" priority="309" operator="equal">
      <formula>"Muy Alta"</formula>
    </cfRule>
    <cfRule type="cellIs" dxfId="302" priority="310" operator="equal">
      <formula>"Alta"</formula>
    </cfRule>
    <cfRule type="cellIs" dxfId="301" priority="311" operator="equal">
      <formula>"Media"</formula>
    </cfRule>
    <cfRule type="cellIs" dxfId="300" priority="312" operator="equal">
      <formula>"Baja"</formula>
    </cfRule>
    <cfRule type="cellIs" dxfId="299" priority="313" operator="equal">
      <formula>"Muy Baja"</formula>
    </cfRule>
  </conditionalFormatting>
  <conditionalFormatting sqref="P69">
    <cfRule type="cellIs" dxfId="298" priority="305" operator="equal">
      <formula>"Extremo"</formula>
    </cfRule>
    <cfRule type="cellIs" dxfId="297" priority="306" operator="equal">
      <formula>"Alto"</formula>
    </cfRule>
    <cfRule type="cellIs" dxfId="296" priority="307" operator="equal">
      <formula>"Moderado"</formula>
    </cfRule>
    <cfRule type="cellIs" dxfId="295" priority="308" operator="equal">
      <formula>"Bajo"</formula>
    </cfRule>
  </conditionalFormatting>
  <conditionalFormatting sqref="AA69">
    <cfRule type="cellIs" dxfId="294" priority="300" operator="equal">
      <formula>"Muy Alta"</formula>
    </cfRule>
    <cfRule type="cellIs" dxfId="293" priority="301" operator="equal">
      <formula>"Alta"</formula>
    </cfRule>
    <cfRule type="cellIs" dxfId="292" priority="302" operator="equal">
      <formula>"Media"</formula>
    </cfRule>
    <cfRule type="cellIs" dxfId="291" priority="303" operator="equal">
      <formula>"Baja"</formula>
    </cfRule>
    <cfRule type="cellIs" dxfId="290" priority="304" operator="equal">
      <formula>"Muy Baja"</formula>
    </cfRule>
  </conditionalFormatting>
  <conditionalFormatting sqref="AC69">
    <cfRule type="cellIs" dxfId="289" priority="295" operator="equal">
      <formula>"Catastrófico"</formula>
    </cfRule>
    <cfRule type="cellIs" dxfId="288" priority="296" operator="equal">
      <formula>"Mayor"</formula>
    </cfRule>
    <cfRule type="cellIs" dxfId="287" priority="297" operator="equal">
      <formula>"Moderado"</formula>
    </cfRule>
    <cfRule type="cellIs" dxfId="286" priority="298" operator="equal">
      <formula>"Menor"</formula>
    </cfRule>
    <cfRule type="cellIs" dxfId="285" priority="299" operator="equal">
      <formula>"Leve"</formula>
    </cfRule>
  </conditionalFormatting>
  <conditionalFormatting sqref="AE69">
    <cfRule type="cellIs" dxfId="284" priority="291" operator="equal">
      <formula>"Extremo"</formula>
    </cfRule>
    <cfRule type="cellIs" dxfId="283" priority="292" operator="equal">
      <formula>"Alto"</formula>
    </cfRule>
    <cfRule type="cellIs" dxfId="282" priority="293" operator="equal">
      <formula>"Moderado"</formula>
    </cfRule>
    <cfRule type="cellIs" dxfId="281" priority="294" operator="equal">
      <formula>"Bajo"</formula>
    </cfRule>
  </conditionalFormatting>
  <conditionalFormatting sqref="J70">
    <cfRule type="cellIs" dxfId="280" priority="286" operator="equal">
      <formula>"Muy Alta"</formula>
    </cfRule>
    <cfRule type="cellIs" dxfId="279" priority="287" operator="equal">
      <formula>"Alta"</formula>
    </cfRule>
    <cfRule type="cellIs" dxfId="278" priority="288" operator="equal">
      <formula>"Media"</formula>
    </cfRule>
    <cfRule type="cellIs" dxfId="277" priority="289" operator="equal">
      <formula>"Baja"</formula>
    </cfRule>
    <cfRule type="cellIs" dxfId="276" priority="290" operator="equal">
      <formula>"Muy Baja"</formula>
    </cfRule>
  </conditionalFormatting>
  <conditionalFormatting sqref="P70">
    <cfRule type="cellIs" dxfId="275" priority="282" operator="equal">
      <formula>"Extremo"</formula>
    </cfRule>
    <cfRule type="cellIs" dxfId="274" priority="283" operator="equal">
      <formula>"Alto"</formula>
    </cfRule>
    <cfRule type="cellIs" dxfId="273" priority="284" operator="equal">
      <formula>"Moderado"</formula>
    </cfRule>
    <cfRule type="cellIs" dxfId="272" priority="285" operator="equal">
      <formula>"Bajo"</formula>
    </cfRule>
  </conditionalFormatting>
  <conditionalFormatting sqref="AA70:AA75">
    <cfRule type="cellIs" dxfId="271" priority="277" operator="equal">
      <formula>"Muy Alta"</formula>
    </cfRule>
    <cfRule type="cellIs" dxfId="270" priority="278" operator="equal">
      <formula>"Alta"</formula>
    </cfRule>
    <cfRule type="cellIs" dxfId="269" priority="279" operator="equal">
      <formula>"Media"</formula>
    </cfRule>
    <cfRule type="cellIs" dxfId="268" priority="280" operator="equal">
      <formula>"Baja"</formula>
    </cfRule>
    <cfRule type="cellIs" dxfId="267" priority="281" operator="equal">
      <formula>"Muy Baja"</formula>
    </cfRule>
  </conditionalFormatting>
  <conditionalFormatting sqref="AC70:AC75">
    <cfRule type="cellIs" dxfId="266" priority="272" operator="equal">
      <formula>"Catastrófico"</formula>
    </cfRule>
    <cfRule type="cellIs" dxfId="265" priority="273" operator="equal">
      <formula>"Mayor"</formula>
    </cfRule>
    <cfRule type="cellIs" dxfId="264" priority="274" operator="equal">
      <formula>"Moderado"</formula>
    </cfRule>
    <cfRule type="cellIs" dxfId="263" priority="275" operator="equal">
      <formula>"Menor"</formula>
    </cfRule>
    <cfRule type="cellIs" dxfId="262" priority="276" operator="equal">
      <formula>"Leve"</formula>
    </cfRule>
  </conditionalFormatting>
  <conditionalFormatting sqref="AE70:AE75">
    <cfRule type="cellIs" dxfId="261" priority="268" operator="equal">
      <formula>"Extremo"</formula>
    </cfRule>
    <cfRule type="cellIs" dxfId="260" priority="269" operator="equal">
      <formula>"Alto"</formula>
    </cfRule>
    <cfRule type="cellIs" dxfId="259" priority="270" operator="equal">
      <formula>"Moderado"</formula>
    </cfRule>
    <cfRule type="cellIs" dxfId="258" priority="271" operator="equal">
      <formula>"Bajo"</formula>
    </cfRule>
  </conditionalFormatting>
  <conditionalFormatting sqref="J76 J79 AA90:AA98">
    <cfRule type="cellIs" dxfId="257" priority="262" operator="equal">
      <formula>"Muy Alta"</formula>
    </cfRule>
    <cfRule type="cellIs" dxfId="256" priority="263" operator="equal">
      <formula>"Alta"</formula>
    </cfRule>
    <cfRule type="cellIs" dxfId="255" priority="264" operator="equal">
      <formula>"Media"</formula>
    </cfRule>
    <cfRule type="cellIs" dxfId="254" priority="265" operator="equal">
      <formula>"Baja"</formula>
    </cfRule>
    <cfRule type="cellIs" dxfId="253" priority="266" operator="equal">
      <formula>"Muy Baja"</formula>
    </cfRule>
  </conditionalFormatting>
  <conditionalFormatting sqref="N76 N79 N84 N90 N93 N96 AC90:AC98">
    <cfRule type="cellIs" dxfId="252" priority="257" operator="equal">
      <formula>"Catastrófico"</formula>
    </cfRule>
    <cfRule type="cellIs" dxfId="251" priority="258" operator="equal">
      <formula>"Mayor"</formula>
    </cfRule>
    <cfRule type="cellIs" dxfId="250" priority="259" operator="equal">
      <formula>"Moderado"</formula>
    </cfRule>
    <cfRule type="cellIs" dxfId="249" priority="260" operator="equal">
      <formula>"Menor"</formula>
    </cfRule>
    <cfRule type="cellIs" dxfId="248" priority="261" operator="equal">
      <formula>"Leve"</formula>
    </cfRule>
  </conditionalFormatting>
  <conditionalFormatting sqref="P76 AE90:AE98">
    <cfRule type="cellIs" dxfId="247" priority="253" operator="equal">
      <formula>"Extremo"</formula>
    </cfRule>
    <cfRule type="cellIs" dxfId="246" priority="254" operator="equal">
      <formula>"Alto"</formula>
    </cfRule>
    <cfRule type="cellIs" dxfId="245" priority="255" operator="equal">
      <formula>"Moderado"</formula>
    </cfRule>
    <cfRule type="cellIs" dxfId="244" priority="256" operator="equal">
      <formula>"Bajo"</formula>
    </cfRule>
  </conditionalFormatting>
  <conditionalFormatting sqref="AA76:AA78">
    <cfRule type="cellIs" dxfId="243" priority="248" operator="equal">
      <formula>"Muy Alta"</formula>
    </cfRule>
    <cfRule type="cellIs" dxfId="242" priority="249" operator="equal">
      <formula>"Alta"</formula>
    </cfRule>
    <cfRule type="cellIs" dxfId="241" priority="250" operator="equal">
      <formula>"Media"</formula>
    </cfRule>
    <cfRule type="cellIs" dxfId="240" priority="251" operator="equal">
      <formula>"Baja"</formula>
    </cfRule>
    <cfRule type="cellIs" dxfId="239" priority="252" operator="equal">
      <formula>"Muy Baja"</formula>
    </cfRule>
  </conditionalFormatting>
  <conditionalFormatting sqref="AC76:AC78">
    <cfRule type="cellIs" dxfId="238" priority="243" operator="equal">
      <formula>"Catastrófico"</formula>
    </cfRule>
    <cfRule type="cellIs" dxfId="237" priority="244" operator="equal">
      <formula>"Mayor"</formula>
    </cfRule>
    <cfRule type="cellIs" dxfId="236" priority="245" operator="equal">
      <formula>"Moderado"</formula>
    </cfRule>
    <cfRule type="cellIs" dxfId="235" priority="246" operator="equal">
      <formula>"Menor"</formula>
    </cfRule>
    <cfRule type="cellIs" dxfId="234" priority="247" operator="equal">
      <formula>"Leve"</formula>
    </cfRule>
  </conditionalFormatting>
  <conditionalFormatting sqref="AE76:AE78">
    <cfRule type="cellIs" dxfId="233" priority="239" operator="equal">
      <formula>"Extremo"</formula>
    </cfRule>
    <cfRule type="cellIs" dxfId="232" priority="240" operator="equal">
      <formula>"Alto"</formula>
    </cfRule>
    <cfRule type="cellIs" dxfId="231" priority="241" operator="equal">
      <formula>"Moderado"</formula>
    </cfRule>
    <cfRule type="cellIs" dxfId="230" priority="242" operator="equal">
      <formula>"Bajo"</formula>
    </cfRule>
  </conditionalFormatting>
  <conditionalFormatting sqref="P79">
    <cfRule type="cellIs" dxfId="229" priority="235" operator="equal">
      <formula>"Extremo"</formula>
    </cfRule>
    <cfRule type="cellIs" dxfId="228" priority="236" operator="equal">
      <formula>"Alto"</formula>
    </cfRule>
    <cfRule type="cellIs" dxfId="227" priority="237" operator="equal">
      <formula>"Moderado"</formula>
    </cfRule>
    <cfRule type="cellIs" dxfId="226" priority="238" operator="equal">
      <formula>"Bajo"</formula>
    </cfRule>
  </conditionalFormatting>
  <conditionalFormatting sqref="AA79:AA83">
    <cfRule type="cellIs" dxfId="225" priority="230" operator="equal">
      <formula>"Muy Alta"</formula>
    </cfRule>
    <cfRule type="cellIs" dxfId="224" priority="231" operator="equal">
      <formula>"Alta"</formula>
    </cfRule>
    <cfRule type="cellIs" dxfId="223" priority="232" operator="equal">
      <formula>"Media"</formula>
    </cfRule>
    <cfRule type="cellIs" dxfId="222" priority="233" operator="equal">
      <formula>"Baja"</formula>
    </cfRule>
    <cfRule type="cellIs" dxfId="221" priority="234" operator="equal">
      <formula>"Muy Baja"</formula>
    </cfRule>
  </conditionalFormatting>
  <conditionalFormatting sqref="AC79:AC83">
    <cfRule type="cellIs" dxfId="220" priority="225" operator="equal">
      <formula>"Catastrófico"</formula>
    </cfRule>
    <cfRule type="cellIs" dxfId="219" priority="226" operator="equal">
      <formula>"Mayor"</formula>
    </cfRule>
    <cfRule type="cellIs" dxfId="218" priority="227" operator="equal">
      <formula>"Moderado"</formula>
    </cfRule>
    <cfRule type="cellIs" dxfId="217" priority="228" operator="equal">
      <formula>"Menor"</formula>
    </cfRule>
    <cfRule type="cellIs" dxfId="216" priority="229" operator="equal">
      <formula>"Leve"</formula>
    </cfRule>
  </conditionalFormatting>
  <conditionalFormatting sqref="AE79:AE83">
    <cfRule type="cellIs" dxfId="215" priority="221" operator="equal">
      <formula>"Extremo"</formula>
    </cfRule>
    <cfRule type="cellIs" dxfId="214" priority="222" operator="equal">
      <formula>"Alto"</formula>
    </cfRule>
    <cfRule type="cellIs" dxfId="213" priority="223" operator="equal">
      <formula>"Moderado"</formula>
    </cfRule>
    <cfRule type="cellIs" dxfId="212" priority="224" operator="equal">
      <formula>"Bajo"</formula>
    </cfRule>
  </conditionalFormatting>
  <conditionalFormatting sqref="J84">
    <cfRule type="cellIs" dxfId="211" priority="216" operator="equal">
      <formula>"Muy Alta"</formula>
    </cfRule>
    <cfRule type="cellIs" dxfId="210" priority="217" operator="equal">
      <formula>"Alta"</formula>
    </cfRule>
    <cfRule type="cellIs" dxfId="209" priority="218" operator="equal">
      <formula>"Media"</formula>
    </cfRule>
    <cfRule type="cellIs" dxfId="208" priority="219" operator="equal">
      <formula>"Baja"</formula>
    </cfRule>
    <cfRule type="cellIs" dxfId="207" priority="220" operator="equal">
      <formula>"Muy Baja"</formula>
    </cfRule>
  </conditionalFormatting>
  <conditionalFormatting sqref="P84">
    <cfRule type="cellIs" dxfId="206" priority="212" operator="equal">
      <formula>"Extremo"</formula>
    </cfRule>
    <cfRule type="cellIs" dxfId="205" priority="213" operator="equal">
      <formula>"Alto"</formula>
    </cfRule>
    <cfRule type="cellIs" dxfId="204" priority="214" operator="equal">
      <formula>"Moderado"</formula>
    </cfRule>
    <cfRule type="cellIs" dxfId="203" priority="215" operator="equal">
      <formula>"Bajo"</formula>
    </cfRule>
  </conditionalFormatting>
  <conditionalFormatting sqref="AA84:AA89">
    <cfRule type="cellIs" dxfId="202" priority="207" operator="equal">
      <formula>"Muy Alta"</formula>
    </cfRule>
    <cfRule type="cellIs" dxfId="201" priority="208" operator="equal">
      <formula>"Alta"</formula>
    </cfRule>
    <cfRule type="cellIs" dxfId="200" priority="209" operator="equal">
      <formula>"Media"</formula>
    </cfRule>
    <cfRule type="cellIs" dxfId="199" priority="210" operator="equal">
      <formula>"Baja"</formula>
    </cfRule>
    <cfRule type="cellIs" dxfId="198" priority="211" operator="equal">
      <formula>"Muy Baja"</formula>
    </cfRule>
  </conditionalFormatting>
  <conditionalFormatting sqref="AC84:AC89">
    <cfRule type="cellIs" dxfId="197" priority="202" operator="equal">
      <formula>"Catastrófico"</formula>
    </cfRule>
    <cfRule type="cellIs" dxfId="196" priority="203" operator="equal">
      <formula>"Mayor"</formula>
    </cfRule>
    <cfRule type="cellIs" dxfId="195" priority="204" operator="equal">
      <formula>"Moderado"</formula>
    </cfRule>
    <cfRule type="cellIs" dxfId="194" priority="205" operator="equal">
      <formula>"Menor"</formula>
    </cfRule>
    <cfRule type="cellIs" dxfId="193" priority="206" operator="equal">
      <formula>"Leve"</formula>
    </cfRule>
  </conditionalFormatting>
  <conditionalFormatting sqref="AE84:AE89">
    <cfRule type="cellIs" dxfId="192" priority="198" operator="equal">
      <formula>"Extremo"</formula>
    </cfRule>
    <cfRule type="cellIs" dxfId="191" priority="199" operator="equal">
      <formula>"Alto"</formula>
    </cfRule>
    <cfRule type="cellIs" dxfId="190" priority="200" operator="equal">
      <formula>"Moderado"</formula>
    </cfRule>
    <cfRule type="cellIs" dxfId="189" priority="201" operator="equal">
      <formula>"Bajo"</formula>
    </cfRule>
  </conditionalFormatting>
  <conditionalFormatting sqref="J90">
    <cfRule type="cellIs" dxfId="188" priority="193" operator="equal">
      <formula>"Muy Alta"</formula>
    </cfRule>
    <cfRule type="cellIs" dxfId="187" priority="194" operator="equal">
      <formula>"Alta"</formula>
    </cfRule>
    <cfRule type="cellIs" dxfId="186" priority="195" operator="equal">
      <formula>"Media"</formula>
    </cfRule>
    <cfRule type="cellIs" dxfId="185" priority="196" operator="equal">
      <formula>"Baja"</formula>
    </cfRule>
    <cfRule type="cellIs" dxfId="184" priority="197" operator="equal">
      <formula>"Muy Baja"</formula>
    </cfRule>
  </conditionalFormatting>
  <conditionalFormatting sqref="P90">
    <cfRule type="cellIs" dxfId="183" priority="189" operator="equal">
      <formula>"Extremo"</formula>
    </cfRule>
    <cfRule type="cellIs" dxfId="182" priority="190" operator="equal">
      <formula>"Alto"</formula>
    </cfRule>
    <cfRule type="cellIs" dxfId="181" priority="191" operator="equal">
      <formula>"Moderado"</formula>
    </cfRule>
    <cfRule type="cellIs" dxfId="180" priority="192" operator="equal">
      <formula>"Bajo"</formula>
    </cfRule>
  </conditionalFormatting>
  <conditionalFormatting sqref="J93">
    <cfRule type="cellIs" dxfId="179" priority="184" operator="equal">
      <formula>"Muy Alta"</formula>
    </cfRule>
    <cfRule type="cellIs" dxfId="178" priority="185" operator="equal">
      <formula>"Alta"</formula>
    </cfRule>
    <cfRule type="cellIs" dxfId="177" priority="186" operator="equal">
      <formula>"Media"</formula>
    </cfRule>
    <cfRule type="cellIs" dxfId="176" priority="187" operator="equal">
      <formula>"Baja"</formula>
    </cfRule>
    <cfRule type="cellIs" dxfId="175" priority="188" operator="equal">
      <formula>"Muy Baja"</formula>
    </cfRule>
  </conditionalFormatting>
  <conditionalFormatting sqref="P93">
    <cfRule type="cellIs" dxfId="174" priority="180" operator="equal">
      <formula>"Extremo"</formula>
    </cfRule>
    <cfRule type="cellIs" dxfId="173" priority="181" operator="equal">
      <formula>"Alto"</formula>
    </cfRule>
    <cfRule type="cellIs" dxfId="172" priority="182" operator="equal">
      <formula>"Moderado"</formula>
    </cfRule>
    <cfRule type="cellIs" dxfId="171" priority="183" operator="equal">
      <formula>"Bajo"</formula>
    </cfRule>
  </conditionalFormatting>
  <conditionalFormatting sqref="J96">
    <cfRule type="cellIs" dxfId="170" priority="175" operator="equal">
      <formula>"Muy Alta"</formula>
    </cfRule>
    <cfRule type="cellIs" dxfId="169" priority="176" operator="equal">
      <formula>"Alta"</formula>
    </cfRule>
    <cfRule type="cellIs" dxfId="168" priority="177" operator="equal">
      <formula>"Media"</formula>
    </cfRule>
    <cfRule type="cellIs" dxfId="167" priority="178" operator="equal">
      <formula>"Baja"</formula>
    </cfRule>
    <cfRule type="cellIs" dxfId="166" priority="179" operator="equal">
      <formula>"Muy Baja"</formula>
    </cfRule>
  </conditionalFormatting>
  <conditionalFormatting sqref="P96">
    <cfRule type="cellIs" dxfId="165" priority="171" operator="equal">
      <formula>"Extremo"</formula>
    </cfRule>
    <cfRule type="cellIs" dxfId="164" priority="172" operator="equal">
      <formula>"Alto"</formula>
    </cfRule>
    <cfRule type="cellIs" dxfId="163" priority="173" operator="equal">
      <formula>"Moderado"</formula>
    </cfRule>
    <cfRule type="cellIs" dxfId="162" priority="174" operator="equal">
      <formula>"Bajo"</formula>
    </cfRule>
  </conditionalFormatting>
  <conditionalFormatting sqref="J99:J101">
    <cfRule type="cellIs" dxfId="161" priority="160" operator="equal">
      <formula>"Muy Alta"</formula>
    </cfRule>
    <cfRule type="cellIs" dxfId="160" priority="161" operator="equal">
      <formula>"Alta"</formula>
    </cfRule>
    <cfRule type="cellIs" dxfId="159" priority="162" operator="equal">
      <formula>"Media"</formula>
    </cfRule>
    <cfRule type="cellIs" dxfId="158" priority="163" operator="equal">
      <formula>"Baja"</formula>
    </cfRule>
    <cfRule type="cellIs" dxfId="157" priority="164" operator="equal">
      <formula>"Muy Baja"</formula>
    </cfRule>
  </conditionalFormatting>
  <conditionalFormatting sqref="M99:M101">
    <cfRule type="containsText" dxfId="156" priority="141" operator="containsText" text="❌">
      <formula>NOT(ISERROR(SEARCH("❌",M99)))</formula>
    </cfRule>
  </conditionalFormatting>
  <conditionalFormatting sqref="N99:N101">
    <cfRule type="cellIs" dxfId="155" priority="165" operator="equal">
      <formula>"Catastrófico"</formula>
    </cfRule>
    <cfRule type="cellIs" dxfId="154" priority="166" operator="equal">
      <formula>"Mayor"</formula>
    </cfRule>
    <cfRule type="cellIs" dxfId="153" priority="167" operator="equal">
      <formula>"Moderado"</formula>
    </cfRule>
    <cfRule type="cellIs" dxfId="152" priority="168" operator="equal">
      <formula>"Menor"</formula>
    </cfRule>
    <cfRule type="cellIs" dxfId="151" priority="169" operator="equal">
      <formula>"Leve"</formula>
    </cfRule>
  </conditionalFormatting>
  <conditionalFormatting sqref="P99:P101">
    <cfRule type="cellIs" dxfId="150" priority="156" operator="equal">
      <formula>"Extremo"</formula>
    </cfRule>
    <cfRule type="cellIs" dxfId="149" priority="157" operator="equal">
      <formula>"Alto"</formula>
    </cfRule>
    <cfRule type="cellIs" dxfId="148" priority="158" operator="equal">
      <formula>"Moderado"</formula>
    </cfRule>
    <cfRule type="cellIs" dxfId="147" priority="159" operator="equal">
      <formula>"Bajo"</formula>
    </cfRule>
  </conditionalFormatting>
  <conditionalFormatting sqref="AA99:AA101">
    <cfRule type="cellIs" dxfId="146" priority="151" operator="equal">
      <formula>"Muy Alta"</formula>
    </cfRule>
    <cfRule type="cellIs" dxfId="145" priority="152" operator="equal">
      <formula>"Alta"</formula>
    </cfRule>
    <cfRule type="cellIs" dxfId="144" priority="153" operator="equal">
      <formula>"Media"</formula>
    </cfRule>
    <cfRule type="cellIs" dxfId="143" priority="154" operator="equal">
      <formula>"Baja"</formula>
    </cfRule>
    <cfRule type="cellIs" dxfId="142" priority="155" operator="equal">
      <formula>"Muy Baja"</formula>
    </cfRule>
  </conditionalFormatting>
  <conditionalFormatting sqref="AC99:AC101">
    <cfRule type="cellIs" dxfId="141" priority="146" operator="equal">
      <formula>"Catastrófico"</formula>
    </cfRule>
    <cfRule type="cellIs" dxfId="140" priority="147" operator="equal">
      <formula>"Mayor"</formula>
    </cfRule>
    <cfRule type="cellIs" dxfId="139" priority="148" operator="equal">
      <formula>"Moderado"</formula>
    </cfRule>
    <cfRule type="cellIs" dxfId="138" priority="149" operator="equal">
      <formula>"Menor"</formula>
    </cfRule>
    <cfRule type="cellIs" dxfId="137" priority="150" operator="equal">
      <formula>"Leve"</formula>
    </cfRule>
  </conditionalFormatting>
  <conditionalFormatting sqref="AE99:AE101">
    <cfRule type="cellIs" dxfId="136" priority="142" operator="equal">
      <formula>"Extremo"</formula>
    </cfRule>
    <cfRule type="cellIs" dxfId="135" priority="143" operator="equal">
      <formula>"Alto"</formula>
    </cfRule>
    <cfRule type="cellIs" dxfId="134" priority="144" operator="equal">
      <formula>"Moderado"</formula>
    </cfRule>
    <cfRule type="cellIs" dxfId="133" priority="145" operator="equal">
      <formula>"Bajo"</formula>
    </cfRule>
  </conditionalFormatting>
  <conditionalFormatting sqref="AA47">
    <cfRule type="cellIs" dxfId="132" priority="126" operator="equal">
      <formula>"Muy Alta"</formula>
    </cfRule>
    <cfRule type="cellIs" dxfId="131" priority="127" operator="equal">
      <formula>"Alta"</formula>
    </cfRule>
    <cfRule type="cellIs" dxfId="130" priority="128" operator="equal">
      <formula>"Media"</formula>
    </cfRule>
    <cfRule type="cellIs" dxfId="129" priority="129" operator="equal">
      <formula>"Baja"</formula>
    </cfRule>
    <cfRule type="cellIs" dxfId="128" priority="130" operator="equal">
      <formula>"Muy Baja"</formula>
    </cfRule>
  </conditionalFormatting>
  <conditionalFormatting sqref="N68">
    <cfRule type="cellIs" dxfId="127" priority="121" operator="equal">
      <formula>"Catastrófico"</formula>
    </cfRule>
    <cfRule type="cellIs" dxfId="126" priority="122" operator="equal">
      <formula>"Mayor"</formula>
    </cfRule>
    <cfRule type="cellIs" dxfId="125" priority="123" operator="equal">
      <formula>"Moderado"</formula>
    </cfRule>
    <cfRule type="cellIs" dxfId="124" priority="124" operator="equal">
      <formula>"Menor"</formula>
    </cfRule>
    <cfRule type="cellIs" dxfId="123" priority="125" operator="equal">
      <formula>"Leve"</formula>
    </cfRule>
  </conditionalFormatting>
  <conditionalFormatting sqref="P68">
    <cfRule type="cellIs" dxfId="122" priority="117" operator="equal">
      <formula>"Extremo"</formula>
    </cfRule>
    <cfRule type="cellIs" dxfId="121" priority="118" operator="equal">
      <formula>"Alto"</formula>
    </cfRule>
    <cfRule type="cellIs" dxfId="120" priority="119" operator="equal">
      <formula>"Moderado"</formula>
    </cfRule>
    <cfRule type="cellIs" dxfId="119" priority="120" operator="equal">
      <formula>"Bajo"</formula>
    </cfRule>
  </conditionalFormatting>
  <conditionalFormatting sqref="M68">
    <cfRule type="containsText" dxfId="118" priority="116" operator="containsText" text="❌">
      <formula>NOT(ISERROR(SEARCH("❌",M68)))</formula>
    </cfRule>
  </conditionalFormatting>
  <conditionalFormatting sqref="AA31:AA34">
    <cfRule type="cellIs" dxfId="117" priority="111" operator="equal">
      <formula>"Muy Alta"</formula>
    </cfRule>
    <cfRule type="cellIs" dxfId="116" priority="112" operator="equal">
      <formula>"Alta"</formula>
    </cfRule>
    <cfRule type="cellIs" dxfId="115" priority="113" operator="equal">
      <formula>"Media"</formula>
    </cfRule>
    <cfRule type="cellIs" dxfId="114" priority="114" operator="equal">
      <formula>"Baja"</formula>
    </cfRule>
    <cfRule type="cellIs" dxfId="113" priority="115" operator="equal">
      <formula>"Muy Baja"</formula>
    </cfRule>
  </conditionalFormatting>
  <conditionalFormatting sqref="M31:M33">
    <cfRule type="containsText" dxfId="112" priority="110" operator="containsText" text="❌">
      <formula>NOT(ISERROR(SEARCH("❌",M31)))</formula>
    </cfRule>
  </conditionalFormatting>
  <conditionalFormatting sqref="M64:M66">
    <cfRule type="containsText" dxfId="111" priority="16" operator="containsText" text="❌">
      <formula>NOT(ISERROR(SEARCH("❌",M64)))</formula>
    </cfRule>
  </conditionalFormatting>
  <conditionalFormatting sqref="AE39:AE41">
    <cfRule type="cellIs" dxfId="110" priority="40" operator="equal">
      <formula>"Extremo"</formula>
    </cfRule>
    <cfRule type="cellIs" dxfId="109" priority="41" operator="equal">
      <formula>"Alto"</formula>
    </cfRule>
    <cfRule type="cellIs" dxfId="108" priority="42" operator="equal">
      <formula>"Moderado"</formula>
    </cfRule>
    <cfRule type="cellIs" dxfId="107" priority="43" operator="equal">
      <formula>"Bajo"</formula>
    </cfRule>
  </conditionalFormatting>
  <conditionalFormatting sqref="P102 AE102">
    <cfRule type="cellIs" dxfId="106" priority="1" operator="equal">
      <formula>"Extremo"</formula>
    </cfRule>
    <cfRule type="cellIs" dxfId="105" priority="2" operator="equal">
      <formula>"Alto"</formula>
    </cfRule>
    <cfRule type="cellIs" dxfId="104" priority="3" operator="equal">
      <formula>"Moderado"</formula>
    </cfRule>
    <cfRule type="cellIs" dxfId="103" priority="4" operator="equal">
      <formula>"Bajo"</formula>
    </cfRule>
  </conditionalFormatting>
  <conditionalFormatting sqref="J35:J36">
    <cfRule type="cellIs" dxfId="102" priority="104" operator="equal">
      <formula>"Muy Alta"</formula>
    </cfRule>
    <cfRule type="cellIs" dxfId="101" priority="105" operator="equal">
      <formula>"Alta"</formula>
    </cfRule>
    <cfRule type="cellIs" dxfId="100" priority="106" operator="equal">
      <formula>"Media"</formula>
    </cfRule>
    <cfRule type="cellIs" dxfId="99" priority="107" operator="equal">
      <formula>"Baja"</formula>
    </cfRule>
    <cfRule type="cellIs" dxfId="98" priority="108" operator="equal">
      <formula>"Muy Baja"</formula>
    </cfRule>
  </conditionalFormatting>
  <conditionalFormatting sqref="N35:N36 N39">
    <cfRule type="cellIs" dxfId="97" priority="99" operator="equal">
      <formula>"Catastrófico"</formula>
    </cfRule>
    <cfRule type="cellIs" dxfId="96" priority="100" operator="equal">
      <formula>"Mayor"</formula>
    </cfRule>
    <cfRule type="cellIs" dxfId="95" priority="101" operator="equal">
      <formula>"Moderado"</formula>
    </cfRule>
    <cfRule type="cellIs" dxfId="94" priority="102" operator="equal">
      <formula>"Menor"</formula>
    </cfRule>
    <cfRule type="cellIs" dxfId="93" priority="103" operator="equal">
      <formula>"Leve"</formula>
    </cfRule>
  </conditionalFormatting>
  <conditionalFormatting sqref="P35">
    <cfRule type="cellIs" dxfId="92" priority="95" operator="equal">
      <formula>"Extremo"</formula>
    </cfRule>
    <cfRule type="cellIs" dxfId="91" priority="96" operator="equal">
      <formula>"Alto"</formula>
    </cfRule>
    <cfRule type="cellIs" dxfId="90" priority="97" operator="equal">
      <formula>"Moderado"</formula>
    </cfRule>
    <cfRule type="cellIs" dxfId="89" priority="98" operator="equal">
      <formula>"Bajo"</formula>
    </cfRule>
  </conditionalFormatting>
  <conditionalFormatting sqref="AA35">
    <cfRule type="cellIs" dxfId="88" priority="90" operator="equal">
      <formula>"Muy Alta"</formula>
    </cfRule>
    <cfRule type="cellIs" dxfId="87" priority="91" operator="equal">
      <formula>"Alta"</formula>
    </cfRule>
    <cfRule type="cellIs" dxfId="86" priority="92" operator="equal">
      <formula>"Media"</formula>
    </cfRule>
    <cfRule type="cellIs" dxfId="85" priority="93" operator="equal">
      <formula>"Baja"</formula>
    </cfRule>
    <cfRule type="cellIs" dxfId="84" priority="94" operator="equal">
      <formula>"Muy Baja"</formula>
    </cfRule>
  </conditionalFormatting>
  <conditionalFormatting sqref="AC35">
    <cfRule type="cellIs" dxfId="83" priority="85" operator="equal">
      <formula>"Catastrófico"</formula>
    </cfRule>
    <cfRule type="cellIs" dxfId="82" priority="86" operator="equal">
      <formula>"Mayor"</formula>
    </cfRule>
    <cfRule type="cellIs" dxfId="81" priority="87" operator="equal">
      <formula>"Moderado"</formula>
    </cfRule>
    <cfRule type="cellIs" dxfId="80" priority="88" operator="equal">
      <formula>"Menor"</formula>
    </cfRule>
    <cfRule type="cellIs" dxfId="79" priority="89" operator="equal">
      <formula>"Leve"</formula>
    </cfRule>
  </conditionalFormatting>
  <conditionalFormatting sqref="AE35">
    <cfRule type="cellIs" dxfId="78" priority="81" operator="equal">
      <formula>"Extremo"</formula>
    </cfRule>
    <cfRule type="cellIs" dxfId="77" priority="82" operator="equal">
      <formula>"Alto"</formula>
    </cfRule>
    <cfRule type="cellIs" dxfId="76" priority="83" operator="equal">
      <formula>"Moderado"</formula>
    </cfRule>
    <cfRule type="cellIs" dxfId="75" priority="84" operator="equal">
      <formula>"Bajo"</formula>
    </cfRule>
  </conditionalFormatting>
  <conditionalFormatting sqref="P36">
    <cfRule type="cellIs" dxfId="74" priority="77" operator="equal">
      <formula>"Extremo"</formula>
    </cfRule>
    <cfRule type="cellIs" dxfId="73" priority="78" operator="equal">
      <formula>"Alto"</formula>
    </cfRule>
    <cfRule type="cellIs" dxfId="72" priority="79" operator="equal">
      <formula>"Moderado"</formula>
    </cfRule>
    <cfRule type="cellIs" dxfId="71" priority="80" operator="equal">
      <formula>"Bajo"</formula>
    </cfRule>
  </conditionalFormatting>
  <conditionalFormatting sqref="AA36:AA38">
    <cfRule type="cellIs" dxfId="70" priority="72" operator="equal">
      <formula>"Muy Alta"</formula>
    </cfRule>
    <cfRule type="cellIs" dxfId="69" priority="73" operator="equal">
      <formula>"Alta"</formula>
    </cfRule>
    <cfRule type="cellIs" dxfId="68" priority="74" operator="equal">
      <formula>"Media"</formula>
    </cfRule>
    <cfRule type="cellIs" dxfId="67" priority="75" operator="equal">
      <formula>"Baja"</formula>
    </cfRule>
    <cfRule type="cellIs" dxfId="66" priority="76" operator="equal">
      <formula>"Muy Baja"</formula>
    </cfRule>
  </conditionalFormatting>
  <conditionalFormatting sqref="AC36:AC38">
    <cfRule type="cellIs" dxfId="65" priority="67" operator="equal">
      <formula>"Catastrófico"</formula>
    </cfRule>
    <cfRule type="cellIs" dxfId="64" priority="68" operator="equal">
      <formula>"Mayor"</formula>
    </cfRule>
    <cfRule type="cellIs" dxfId="63" priority="69" operator="equal">
      <formula>"Moderado"</formula>
    </cfRule>
    <cfRule type="cellIs" dxfId="62" priority="70" operator="equal">
      <formula>"Menor"</formula>
    </cfRule>
    <cfRule type="cellIs" dxfId="61" priority="71" operator="equal">
      <formula>"Leve"</formula>
    </cfRule>
  </conditionalFormatting>
  <conditionalFormatting sqref="AE36:AE38">
    <cfRule type="cellIs" dxfId="60" priority="63" operator="equal">
      <formula>"Extremo"</formula>
    </cfRule>
    <cfRule type="cellIs" dxfId="59" priority="64" operator="equal">
      <formula>"Alto"</formula>
    </cfRule>
    <cfRule type="cellIs" dxfId="58" priority="65" operator="equal">
      <formula>"Moderado"</formula>
    </cfRule>
    <cfRule type="cellIs" dxfId="57" priority="66" operator="equal">
      <formula>"Bajo"</formula>
    </cfRule>
  </conditionalFormatting>
  <conditionalFormatting sqref="J39">
    <cfRule type="cellIs" dxfId="56" priority="58" operator="equal">
      <formula>"Muy Alta"</formula>
    </cfRule>
    <cfRule type="cellIs" dxfId="55" priority="59" operator="equal">
      <formula>"Alta"</formula>
    </cfRule>
    <cfRule type="cellIs" dxfId="54" priority="60" operator="equal">
      <formula>"Media"</formula>
    </cfRule>
    <cfRule type="cellIs" dxfId="53" priority="61" operator="equal">
      <formula>"Baja"</formula>
    </cfRule>
    <cfRule type="cellIs" dxfId="52" priority="62" operator="equal">
      <formula>"Muy Baja"</formula>
    </cfRule>
  </conditionalFormatting>
  <conditionalFormatting sqref="P39">
    <cfRule type="cellIs" dxfId="51" priority="54" operator="equal">
      <formula>"Extremo"</formula>
    </cfRule>
    <cfRule type="cellIs" dxfId="50" priority="55" operator="equal">
      <formula>"Alto"</formula>
    </cfRule>
    <cfRule type="cellIs" dxfId="49" priority="56" operator="equal">
      <formula>"Moderado"</formula>
    </cfRule>
    <cfRule type="cellIs" dxfId="48" priority="57" operator="equal">
      <formula>"Bajo"</formula>
    </cfRule>
  </conditionalFormatting>
  <conditionalFormatting sqref="AA39:AA41">
    <cfRule type="cellIs" dxfId="47" priority="49" operator="equal">
      <formula>"Muy Alta"</formula>
    </cfRule>
    <cfRule type="cellIs" dxfId="46" priority="50" operator="equal">
      <formula>"Alta"</formula>
    </cfRule>
    <cfRule type="cellIs" dxfId="45" priority="51" operator="equal">
      <formula>"Media"</formula>
    </cfRule>
    <cfRule type="cellIs" dxfId="44" priority="52" operator="equal">
      <formula>"Baja"</formula>
    </cfRule>
    <cfRule type="cellIs" dxfId="43" priority="53" operator="equal">
      <formula>"Muy Baja"</formula>
    </cfRule>
  </conditionalFormatting>
  <conditionalFormatting sqref="AC39:AC41">
    <cfRule type="cellIs" dxfId="42" priority="44" operator="equal">
      <formula>"Catastrófico"</formula>
    </cfRule>
    <cfRule type="cellIs" dxfId="41" priority="45" operator="equal">
      <formula>"Mayor"</formula>
    </cfRule>
    <cfRule type="cellIs" dxfId="40" priority="46" operator="equal">
      <formula>"Moderado"</formula>
    </cfRule>
    <cfRule type="cellIs" dxfId="39" priority="47" operator="equal">
      <formula>"Menor"</formula>
    </cfRule>
    <cfRule type="cellIs" dxfId="38" priority="48" operator="equal">
      <formula>"Leve"</formula>
    </cfRule>
  </conditionalFormatting>
  <conditionalFormatting sqref="AA64:AA66">
    <cfRule type="cellIs" dxfId="37" priority="35" operator="equal">
      <formula>"Muy Alta"</formula>
    </cfRule>
    <cfRule type="cellIs" dxfId="36" priority="36" operator="equal">
      <formula>"Alta"</formula>
    </cfRule>
    <cfRule type="cellIs" dxfId="35" priority="37" operator="equal">
      <formula>"Media"</formula>
    </cfRule>
    <cfRule type="cellIs" dxfId="34" priority="38" operator="equal">
      <formula>"Baja"</formula>
    </cfRule>
    <cfRule type="cellIs" dxfId="33" priority="39" operator="equal">
      <formula>"Muy Baja"</formula>
    </cfRule>
  </conditionalFormatting>
  <conditionalFormatting sqref="N64:N65 AC64:AC66">
    <cfRule type="cellIs" dxfId="32" priority="30" operator="equal">
      <formula>"Catastrófico"</formula>
    </cfRule>
    <cfRule type="cellIs" dxfId="31" priority="31" operator="equal">
      <formula>"Mayor"</formula>
    </cfRule>
    <cfRule type="cellIs" dxfId="30" priority="32" operator="equal">
      <formula>"Moderado"</formula>
    </cfRule>
    <cfRule type="cellIs" dxfId="29" priority="33" operator="equal">
      <formula>"Menor"</formula>
    </cfRule>
    <cfRule type="cellIs" dxfId="28" priority="34" operator="equal">
      <formula>"Leve"</formula>
    </cfRule>
  </conditionalFormatting>
  <conditionalFormatting sqref="AE64:AE66">
    <cfRule type="cellIs" dxfId="27" priority="26" operator="equal">
      <formula>"Extremo"</formula>
    </cfRule>
    <cfRule type="cellIs" dxfId="26" priority="27" operator="equal">
      <formula>"Alto"</formula>
    </cfRule>
    <cfRule type="cellIs" dxfId="25" priority="28" operator="equal">
      <formula>"Moderado"</formula>
    </cfRule>
    <cfRule type="cellIs" dxfId="24" priority="29" operator="equal">
      <formula>"Bajo"</formula>
    </cfRule>
  </conditionalFormatting>
  <conditionalFormatting sqref="J64:J65">
    <cfRule type="cellIs" dxfId="23" priority="21" operator="equal">
      <formula>"Muy Alta"</formula>
    </cfRule>
    <cfRule type="cellIs" dxfId="22" priority="22" operator="equal">
      <formula>"Alta"</formula>
    </cfRule>
    <cfRule type="cellIs" dxfId="21" priority="23" operator="equal">
      <formula>"Media"</formula>
    </cfRule>
    <cfRule type="cellIs" dxfId="20" priority="24" operator="equal">
      <formula>"Baja"</formula>
    </cfRule>
    <cfRule type="cellIs" dxfId="19" priority="25" operator="equal">
      <formula>"Muy Baja"</formula>
    </cfRule>
  </conditionalFormatting>
  <conditionalFormatting sqref="P64:P65">
    <cfRule type="cellIs" dxfId="18" priority="17" operator="equal">
      <formula>"Extremo"</formula>
    </cfRule>
    <cfRule type="cellIs" dxfId="17" priority="18" operator="equal">
      <formula>"Alto"</formula>
    </cfRule>
    <cfRule type="cellIs" dxfId="16" priority="19" operator="equal">
      <formula>"Moderado"</formula>
    </cfRule>
    <cfRule type="cellIs" dxfId="15" priority="20" operator="equal">
      <formula>"Bajo"</formula>
    </cfRule>
  </conditionalFormatting>
  <conditionalFormatting sqref="J102 AA102">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M102 R102">
    <cfRule type="containsText" dxfId="9" priority="10" operator="containsText" text="❌">
      <formula>NOT(ISERROR(SEARCH("❌",M102)))</formula>
    </cfRule>
  </conditionalFormatting>
  <conditionalFormatting sqref="N102 AC102">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pageMargins left="0.7" right="0.7" top="0.75" bottom="0.75" header="0.3" footer="0.3"/>
  <pageSetup orientation="portrait" r:id="rId1"/>
  <ignoredErrors>
    <ignoredError sqref="AD22" formula="1"/>
  </ignoredErrors>
  <drawing r:id="rId2"/>
  <legacyDrawing r:id="rId3"/>
  <extLst>
    <ext xmlns:x14="http://schemas.microsoft.com/office/spreadsheetml/2009/9/main" uri="{CCE6A557-97BC-4b89-ADB6-D9C93CAAB3DF}">
      <x14:dataValidations xmlns:xm="http://schemas.microsoft.com/office/excel/2006/main" count="21">
        <x14:dataValidation type="list" allowBlank="1" showInputMessage="1" showErrorMessage="1" xr:uid="{00000000-0002-0000-0100-000000000000}">
          <x14:formula1>
            <xm:f>'Opciones Tratamiento'!$B$9:$B$10</xm:f>
          </x14:formula1>
          <xm:sqref>AL20 AL23:AL24 AL27:AL28 AK31 AK34:AL34 AL30:AL33 AL35:AL40</xm:sqref>
        </x14:dataValidation>
        <x14:dataValidation type="list" allowBlank="1" showInputMessage="1" showErrorMessage="1" xr:uid="{00000000-0002-0000-0100-000001000000}">
          <x14:formula1>
            <xm:f>'Opciones Tratamiento'!$B$13:$B$19</xm:f>
          </x14:formula1>
          <xm:sqref>H20:H31 H34:H41</xm:sqref>
        </x14:dataValidation>
        <x14:dataValidation type="list" allowBlank="1" showInputMessage="1" showErrorMessage="1" xr:uid="{00000000-0002-0000-0100-000002000000}">
          <x14:formula1>
            <xm:f>'Tabla Impacto'!$F$210:$F$221</xm:f>
          </x14:formula1>
          <xm:sqref>L20:L31 L34:L39</xm:sqref>
        </x14:dataValidation>
        <x14:dataValidation type="custom" allowBlank="1" showInputMessage="1" showErrorMessage="1" error="Recuerde que las acciones se generan bajo la medida de mitigar el riesgo" xr:uid="{00000000-0002-0000-0100-000003000000}">
          <x14:formula1>
            <xm:f>IF(OR(AF20='Opciones Tratamiento'!$B$2,AF20='Opciones Tratamiento'!$B$3,AF20='Opciones Tratamiento'!$B$4),ISBLANK(AF20),ISTEXT(AF20))</xm:f>
          </x14:formula1>
          <xm:sqref>AH20 AH23:AH24 AH27:AH28 AH30:AH38 AH40</xm:sqref>
        </x14:dataValidation>
        <x14:dataValidation type="custom" allowBlank="1" showInputMessage="1" showErrorMessage="1" error="Recuerde que las acciones se generan bajo la medida de mitigar el riesgo" xr:uid="{00000000-0002-0000-0100-000004000000}">
          <x14:formula1>
            <xm:f>IF(OR(AF20='Opciones Tratamiento'!$B$2,AF20='Opciones Tratamiento'!$B$3,AF20='Opciones Tratamiento'!$B$4),ISBLANK(AF20),ISTEXT(AF20))</xm:f>
          </x14:formula1>
          <xm:sqref>AI20 AI23:AI24 AI27:AI28 AI40 AI30:AI38</xm:sqref>
        </x14:dataValidation>
        <x14:dataValidation type="custom" allowBlank="1" showInputMessage="1" showErrorMessage="1" error="Recuerde que las acciones se generan bajo la medida de mitigar el riesgo" xr:uid="{00000000-0002-0000-0100-000005000000}">
          <x14:formula1>
            <xm:f>IF(OR(AF20='Opciones Tratamiento'!$B$2,AF20='Opciones Tratamiento'!$B$3,AF20='Opciones Tratamiento'!$B$4),ISBLANK(AF20),ISTEXT(AF20))</xm:f>
          </x14:formula1>
          <xm:sqref>AJ20 AJ27 AJ23:AJ24 AJ40 AJ30:AJ38</xm:sqref>
        </x14:dataValidation>
        <x14:dataValidation type="custom" allowBlank="1" showInputMessage="1" showErrorMessage="1" error="Recuerde que las acciones se generan bajo la medida de mitigar el riesgo" xr:uid="{00000000-0002-0000-0100-000006000000}">
          <x14:formula1>
            <xm:f>IF(OR(AF20='Opciones Tratamiento'!$B$2,AF20='Opciones Tratamiento'!$B$3,AF20='Opciones Tratamiento'!$B$4),ISBLANK(AF20),ISTEXT(AF20))</xm:f>
          </x14:formula1>
          <xm:sqref>AK20 AK23:AK24 AK27:AK28 AK40 AK30 AK32:AK33 AK35:AK38</xm:sqref>
        </x14:dataValidation>
        <x14:dataValidation type="list" allowBlank="1" showInputMessage="1" showErrorMessage="1" xr:uid="{00000000-0002-0000-0100-000007000000}">
          <x14:formula1>
            <xm:f>'xlFile://Root/CurrentDir/SEG. SST SOC Y AMB OK/[MAPA RIESGO AMBIENTAL, SOC1AL Y SSTCORRU.xlsx]Tabla Impacto'!#REF!</xm:f>
          </x14:formula1>
          <xm:sqref>L68</xm:sqref>
        </x14:dataValidation>
        <x14:dataValidation type="custom" allowBlank="1" showInputMessage="1" showErrorMessage="1" error="Recuerde que las acciones se generan bajo la medida de mitigar el riesgo" xr:uid="{00000000-0002-0000-0100-000008000000}">
          <x14:formula1>
            <xm:f>IF(OR(AF70='/C:/Users/Natalia/Downloads/[MAPA RIESGO AMABLE 2021 ULTIMO JURIDICA.xlsx]Opciones Tratamiento'!#REF!,AF70='/C:/Users/Natalia/Downloads/[MAPA RIESGO AMABLE 2021 ULTIMO JURIDICA.xlsx]Opciones Tratamiento'!#REF!,AF70='/C:/Users/Natalia/Downloads/[MAPA RIESGO AMABLE 2021 ULTIMO JURIDICA.xlsx]Opciones Tratamiento'!#REF!),ISBLANK(AF70),ISTEXT(AF70))</xm:f>
          </x14:formula1>
          <xm:sqref>AH70</xm:sqref>
        </x14:dataValidation>
        <x14:dataValidation type="list" allowBlank="1" showInputMessage="1" showErrorMessage="1" xr:uid="{00000000-0002-0000-0100-000009000000}">
          <x14:formula1>
            <xm:f>'Tabla Valoración controles'!$D$4:$D$6</xm:f>
          </x14:formula1>
          <xm:sqref>T20:T41</xm:sqref>
        </x14:dataValidation>
        <x14:dataValidation type="list" allowBlank="1" showInputMessage="1" showErrorMessage="1" xr:uid="{00000000-0002-0000-0100-00000A000000}">
          <x14:formula1>
            <xm:f>'Tabla Valoración controles'!$D$7:$D$8</xm:f>
          </x14:formula1>
          <xm:sqref>U20:U41</xm:sqref>
        </x14:dataValidation>
        <x14:dataValidation type="list" allowBlank="1" showInputMessage="1" showErrorMessage="1" xr:uid="{00000000-0002-0000-0100-00000B000000}">
          <x14:formula1>
            <xm:f>'Tabla Valoración controles'!$D$9:$D$10</xm:f>
          </x14:formula1>
          <xm:sqref>W20:W41</xm:sqref>
        </x14:dataValidation>
        <x14:dataValidation type="list" allowBlank="1" showInputMessage="1" showErrorMessage="1" xr:uid="{00000000-0002-0000-0100-00000C000000}">
          <x14:formula1>
            <xm:f>'Tabla Valoración controles'!$D$11:$D$12</xm:f>
          </x14:formula1>
          <xm:sqref>X20:X41</xm:sqref>
        </x14:dataValidation>
        <x14:dataValidation type="list" allowBlank="1" showInputMessage="1" showErrorMessage="1" xr:uid="{00000000-0002-0000-0100-00000D000000}">
          <x14:formula1>
            <xm:f>'Tabla Valoración controles'!$D$13:$D$14</xm:f>
          </x14:formula1>
          <xm:sqref>Y20:Y41</xm:sqref>
        </x14:dataValidation>
        <x14:dataValidation type="list" allowBlank="1" showInputMessage="1" showErrorMessage="1" xr:uid="{00000000-0002-0000-0100-00000E000000}">
          <x14:formula1>
            <xm:f>'Opciones Tratamiento'!$E$2:$E$4</xm:f>
          </x14:formula1>
          <xm:sqref>D20:D41</xm:sqref>
        </x14:dataValidation>
        <x14:dataValidation type="list" allowBlank="1" showInputMessage="1" showErrorMessage="1" xr:uid="{00000000-0002-0000-0100-00000F000000}">
          <x14:formula1>
            <xm:f>'Opciones Tratamiento'!$B$2:$B$5</xm:f>
          </x14:formula1>
          <xm:sqref>AF20:AF56</xm:sqref>
        </x14:dataValidation>
        <x14:dataValidation type="custom" allowBlank="1" showInputMessage="1" showErrorMessage="1" error="Recuerde que las acciones se generan bajo la medida de mitigar el riesgo" xr:uid="{00000000-0002-0000-0100-000010000000}">
          <x14:formula1>
            <xm:f>IF(OR(AF20='Opciones Tratamiento'!$B$2,AF20='Opciones Tratamiento'!$B$3,AF20='Opciones Tratamiento'!$B$4),ISBLANK(AF20),ISTEXT(AF20))</xm:f>
          </x14:formula1>
          <xm:sqref>AG20:AG41</xm:sqref>
        </x14:dataValidation>
        <x14:dataValidation type="custom" allowBlank="1" showInputMessage="1" showErrorMessage="1" error="Recuerde que las acciones se generan bajo la medida de mitigar el riesgo" xr:uid="{00000000-0002-0000-0100-000011000000}">
          <x14:formula1>
            <xm:f>IF(OR(AF41='Opciones Tratamiento'!$B$2,AF41='Opciones Tratamiento'!$B$3,AF41='Opciones Tratamiento'!$B$4),ISBLANK(AF41),ISTEXT(AF41))</xm:f>
          </x14:formula1>
          <xm:sqref>AH39</xm:sqref>
        </x14:dataValidation>
        <x14:dataValidation type="custom" allowBlank="1" showInputMessage="1" showErrorMessage="1" error="Recuerde que las acciones se generan bajo la medida de mitigar el riesgo" xr:uid="{00000000-0002-0000-0100-000012000000}">
          <x14:formula1>
            <xm:f>IF(OR(AF41='Opciones Tratamiento'!$B$2,AF41='Opciones Tratamiento'!$B$3,AF41='Opciones Tratamiento'!$B$4),ISBLANK(AF41),ISTEXT(AF41))</xm:f>
          </x14:formula1>
          <xm:sqref>AI39</xm:sqref>
        </x14:dataValidation>
        <x14:dataValidation type="custom" allowBlank="1" showInputMessage="1" showErrorMessage="1" error="Recuerde que las acciones se generan bajo la medida de mitigar el riesgo" xr:uid="{00000000-0002-0000-0100-000013000000}">
          <x14:formula1>
            <xm:f>IF(OR(AF41='Opciones Tratamiento'!$B$2,AF41='Opciones Tratamiento'!$B$3,AF41='Opciones Tratamiento'!$B$4),ISBLANK(AF41),ISTEXT(AF41))</xm:f>
          </x14:formula1>
          <xm:sqref>AJ39</xm:sqref>
        </x14:dataValidation>
        <x14:dataValidation type="custom" allowBlank="1" showInputMessage="1" showErrorMessage="1" error="Recuerde que las acciones se generan bajo la medida de mitigar el riesgo" xr:uid="{00000000-0002-0000-0100-000014000000}">
          <x14:formula1>
            <xm:f>IF(OR(AF41='Opciones Tratamiento'!$B$2,AF41='Opciones Tratamiento'!$B$3,AF41='Opciones Tratamiento'!$B$4),ISBLANK(AF41),ISTEXT(AF41))</xm:f>
          </x14:formula1>
          <xm:sqref>AK39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zoomScalePageLayoutView="50" workbookViewId="0">
      <selection activeCell="L12" sqref="L12:M13"/>
    </sheetView>
  </sheetViews>
  <sheetFormatPr baseColWidth="10" defaultColWidth="10.7109375" defaultRowHeight="15" x14ac:dyDescent="0.25"/>
  <cols>
    <col min="2" max="39" width="5.7109375" customWidth="1"/>
    <col min="41" max="46" width="5.7109375" customWidth="1"/>
  </cols>
  <sheetData>
    <row r="1" spans="1:99" x14ac:dyDescent="0.25">
      <c r="A1" s="76"/>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row>
    <row r="2" spans="1:99" ht="18" customHeight="1" x14ac:dyDescent="0.25">
      <c r="A2" s="76"/>
      <c r="B2" s="397" t="s">
        <v>156</v>
      </c>
      <c r="C2" s="397"/>
      <c r="D2" s="397"/>
      <c r="E2" s="397"/>
      <c r="F2" s="397"/>
      <c r="G2" s="397"/>
      <c r="H2" s="397"/>
      <c r="I2" s="397"/>
      <c r="J2" s="434" t="s">
        <v>2</v>
      </c>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row>
    <row r="3" spans="1:99" ht="18.75" customHeight="1" x14ac:dyDescent="0.25">
      <c r="A3" s="76"/>
      <c r="B3" s="397"/>
      <c r="C3" s="397"/>
      <c r="D3" s="397"/>
      <c r="E3" s="397"/>
      <c r="F3" s="397"/>
      <c r="G3" s="397"/>
      <c r="H3" s="397"/>
      <c r="I3" s="397"/>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row>
    <row r="4" spans="1:99" ht="15" customHeight="1" x14ac:dyDescent="0.25">
      <c r="A4" s="76"/>
      <c r="B4" s="397"/>
      <c r="C4" s="397"/>
      <c r="D4" s="397"/>
      <c r="E4" s="397"/>
      <c r="F4" s="397"/>
      <c r="G4" s="397"/>
      <c r="H4" s="397"/>
      <c r="I4" s="397"/>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row>
    <row r="5" spans="1:99" ht="15.75" thickBot="1" x14ac:dyDescent="0.3">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row>
    <row r="6" spans="1:99" ht="15" customHeight="1" x14ac:dyDescent="0.25">
      <c r="A6" s="76"/>
      <c r="B6" s="445" t="s">
        <v>4</v>
      </c>
      <c r="C6" s="445"/>
      <c r="D6" s="446"/>
      <c r="E6" s="435" t="s">
        <v>116</v>
      </c>
      <c r="F6" s="436"/>
      <c r="G6" s="436"/>
      <c r="H6" s="436"/>
      <c r="I6" s="437"/>
      <c r="J6" s="431" t="str">
        <f>IF(AND('Mapa final'!$J$20="Muy Alta",'Mapa final'!$N$20="Leve"),CONCATENATE("R",'Mapa final'!$C$20),"")</f>
        <v/>
      </c>
      <c r="K6" s="432"/>
      <c r="L6" s="432" t="str">
        <f>IF(AND('Mapa final'!$J$23="Muy Alta",'Mapa final'!$N$23="Leve"),CONCATENATE("R",'Mapa final'!$C$23),"")</f>
        <v/>
      </c>
      <c r="M6" s="432"/>
      <c r="N6" s="432" t="str">
        <f>IF(AND('Mapa final'!$J$24="Muy Alta",'Mapa final'!$N$24="Leve"),CONCATENATE("R",'Mapa final'!$C$24),"")</f>
        <v/>
      </c>
      <c r="O6" s="433"/>
      <c r="P6" s="431" t="str">
        <f>IF(AND('Mapa final'!$J$20="Muy Alta",'Mapa final'!$N$20="Menor"),CONCATENATE("R",'Mapa final'!$C$20),"")</f>
        <v/>
      </c>
      <c r="Q6" s="432"/>
      <c r="R6" s="432" t="str">
        <f>IF(AND('Mapa final'!$J$23="Muy Alta",'Mapa final'!$N$23="Menor"),CONCATENATE("R",'Mapa final'!$C$23),"")</f>
        <v/>
      </c>
      <c r="S6" s="432"/>
      <c r="T6" s="432" t="str">
        <f>IF(AND('Mapa final'!$J$24="Muy Alta",'Mapa final'!$N$24="Menor"),CONCATENATE("R",'Mapa final'!$C$24),"")</f>
        <v/>
      </c>
      <c r="U6" s="433"/>
      <c r="V6" s="431" t="str">
        <f>IF(AND('Mapa final'!$J$20="Muy Alta",'Mapa final'!$N$20="Moderado"),CONCATENATE("R",'Mapa final'!$C$20),"")</f>
        <v/>
      </c>
      <c r="W6" s="432"/>
      <c r="X6" s="432" t="str">
        <f>IF(AND('Mapa final'!$J$23="Muy Alta",'Mapa final'!$N$23="Moderado"),CONCATENATE("R",'Mapa final'!$C$23),"")</f>
        <v/>
      </c>
      <c r="Y6" s="432"/>
      <c r="Z6" s="432" t="str">
        <f>IF(AND('Mapa final'!$J$24="Muy Alta",'Mapa final'!$N$24="Moderado"),CONCATENATE("R",'Mapa final'!$C$24),"")</f>
        <v/>
      </c>
      <c r="AA6" s="433"/>
      <c r="AB6" s="431" t="str">
        <f>IF(AND('Mapa final'!$J$20="Muy Alta",'Mapa final'!$N$20="Mayor"),CONCATENATE("R",'Mapa final'!$C$20),"")</f>
        <v/>
      </c>
      <c r="AC6" s="432"/>
      <c r="AD6" s="432" t="str">
        <f>IF(AND('Mapa final'!$J$23="Muy Alta",'Mapa final'!$N$23="Mayor"),CONCATENATE("R",'Mapa final'!$C$23),"")</f>
        <v/>
      </c>
      <c r="AE6" s="432"/>
      <c r="AF6" s="432" t="str">
        <f>IF(AND('Mapa final'!$J$24="Muy Alta",'Mapa final'!$N$24="Mayor"),CONCATENATE("R",'Mapa final'!$C$24),"")</f>
        <v/>
      </c>
      <c r="AG6" s="433"/>
      <c r="AH6" s="422" t="str">
        <f>IF(AND('Mapa final'!$J$20="Muy Alta",'Mapa final'!$N$20="Catastrófico"),CONCATENATE("R",'Mapa final'!$C$20),"")</f>
        <v/>
      </c>
      <c r="AI6" s="423"/>
      <c r="AJ6" s="423" t="str">
        <f>IF(AND('Mapa final'!$J$23="Muy Alta",'Mapa final'!$N$23="Catastrófico"),CONCATENATE("R",'Mapa final'!$C$23),"")</f>
        <v/>
      </c>
      <c r="AK6" s="423"/>
      <c r="AL6" s="423" t="str">
        <f>IF(AND('Mapa final'!$J$24="Muy Alta",'Mapa final'!$N$24="Catastrófico"),CONCATENATE("R",'Mapa final'!$C$24),"")</f>
        <v/>
      </c>
      <c r="AM6" s="424"/>
      <c r="AO6" s="447" t="s">
        <v>79</v>
      </c>
      <c r="AP6" s="448"/>
      <c r="AQ6" s="448"/>
      <c r="AR6" s="448"/>
      <c r="AS6" s="448"/>
      <c r="AT6" s="449"/>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row>
    <row r="7" spans="1:99" ht="15" customHeight="1" x14ac:dyDescent="0.25">
      <c r="A7" s="76"/>
      <c r="B7" s="445"/>
      <c r="C7" s="445"/>
      <c r="D7" s="446"/>
      <c r="E7" s="438"/>
      <c r="F7" s="439"/>
      <c r="G7" s="439"/>
      <c r="H7" s="439"/>
      <c r="I7" s="440"/>
      <c r="J7" s="425"/>
      <c r="K7" s="426"/>
      <c r="L7" s="426"/>
      <c r="M7" s="426"/>
      <c r="N7" s="426"/>
      <c r="O7" s="427"/>
      <c r="P7" s="425"/>
      <c r="Q7" s="426"/>
      <c r="R7" s="426"/>
      <c r="S7" s="426"/>
      <c r="T7" s="426"/>
      <c r="U7" s="427"/>
      <c r="V7" s="425"/>
      <c r="W7" s="426"/>
      <c r="X7" s="426"/>
      <c r="Y7" s="426"/>
      <c r="Z7" s="426"/>
      <c r="AA7" s="427"/>
      <c r="AB7" s="425"/>
      <c r="AC7" s="426"/>
      <c r="AD7" s="426"/>
      <c r="AE7" s="426"/>
      <c r="AF7" s="426"/>
      <c r="AG7" s="427"/>
      <c r="AH7" s="416"/>
      <c r="AI7" s="417"/>
      <c r="AJ7" s="417"/>
      <c r="AK7" s="417"/>
      <c r="AL7" s="417"/>
      <c r="AM7" s="418"/>
      <c r="AN7" s="76"/>
      <c r="AO7" s="450"/>
      <c r="AP7" s="451"/>
      <c r="AQ7" s="451"/>
      <c r="AR7" s="451"/>
      <c r="AS7" s="451"/>
      <c r="AT7" s="452"/>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row>
    <row r="8" spans="1:99" ht="15" customHeight="1" x14ac:dyDescent="0.25">
      <c r="A8" s="76"/>
      <c r="B8" s="445"/>
      <c r="C8" s="445"/>
      <c r="D8" s="446"/>
      <c r="E8" s="438"/>
      <c r="F8" s="439"/>
      <c r="G8" s="439"/>
      <c r="H8" s="439"/>
      <c r="I8" s="440"/>
      <c r="J8" s="425" t="str">
        <f>IF(AND('Mapa final'!$J$27="Muy Alta",'Mapa final'!$N$27="Leve"),CONCATENATE("R",'Mapa final'!$C$27),"")</f>
        <v/>
      </c>
      <c r="K8" s="426"/>
      <c r="L8" s="426" t="str">
        <f>IF(AND('Mapa final'!$J$30="Muy Alta",'Mapa final'!$N$30="Leve"),CONCATENATE("R",'Mapa final'!$C$30),"")</f>
        <v/>
      </c>
      <c r="M8" s="426"/>
      <c r="N8" s="426" t="e">
        <f>IF(AND('Mapa final'!#REF!="Muy Alta",'Mapa final'!#REF!="Leve"),CONCATENATE("R",'Mapa final'!#REF!),"")</f>
        <v>#REF!</v>
      </c>
      <c r="O8" s="427"/>
      <c r="P8" s="425" t="str">
        <f>IF(AND('Mapa final'!$J$27="Muy Alta",'Mapa final'!$N$27="Menor"),CONCATENATE("R",'Mapa final'!$C$27),"")</f>
        <v/>
      </c>
      <c r="Q8" s="426"/>
      <c r="R8" s="426" t="str">
        <f>IF(AND('Mapa final'!$J$30="Muy Alta",'Mapa final'!$N$30="Menor"),CONCATENATE("R",'Mapa final'!$C$30),"")</f>
        <v/>
      </c>
      <c r="S8" s="426"/>
      <c r="T8" s="426" t="e">
        <f>IF(AND('Mapa final'!#REF!="Muy Alta",'Mapa final'!#REF!="Menor"),CONCATENATE("R",'Mapa final'!#REF!),"")</f>
        <v>#REF!</v>
      </c>
      <c r="U8" s="427"/>
      <c r="V8" s="425" t="str">
        <f>IF(AND('Mapa final'!$J$27="Muy Alta",'Mapa final'!$N$27="Moderado"),CONCATENATE("R",'Mapa final'!$C$27),"")</f>
        <v/>
      </c>
      <c r="W8" s="426"/>
      <c r="X8" s="426" t="str">
        <f>IF(AND('Mapa final'!$J$30="Muy Alta",'Mapa final'!$N$30="Moderado"),CONCATENATE("R",'Mapa final'!$C$30),"")</f>
        <v/>
      </c>
      <c r="Y8" s="426"/>
      <c r="Z8" s="426" t="e">
        <f>IF(AND('Mapa final'!#REF!="Muy Alta",'Mapa final'!#REF!="Moderado"),CONCATENATE("R",'Mapa final'!#REF!),"")</f>
        <v>#REF!</v>
      </c>
      <c r="AA8" s="427"/>
      <c r="AB8" s="425" t="str">
        <f>IF(AND('Mapa final'!$J$27="Muy Alta",'Mapa final'!$N$27="Mayor"),CONCATENATE("R",'Mapa final'!$C$27),"")</f>
        <v/>
      </c>
      <c r="AC8" s="426"/>
      <c r="AD8" s="426" t="str">
        <f>IF(AND('Mapa final'!$J$30="Muy Alta",'Mapa final'!$N$30="Mayor"),CONCATENATE("R",'Mapa final'!$C$30),"")</f>
        <v/>
      </c>
      <c r="AE8" s="426"/>
      <c r="AF8" s="426" t="e">
        <f>IF(AND('Mapa final'!#REF!="Muy Alta",'Mapa final'!#REF!="Mayor"),CONCATENATE("R",'Mapa final'!#REF!),"")</f>
        <v>#REF!</v>
      </c>
      <c r="AG8" s="427"/>
      <c r="AH8" s="416" t="str">
        <f>IF(AND('Mapa final'!$J$27="Muy Alta",'Mapa final'!$N$27="Catastrófico"),CONCATENATE("R",'Mapa final'!$C$27),"")</f>
        <v/>
      </c>
      <c r="AI8" s="417"/>
      <c r="AJ8" s="417" t="str">
        <f>IF(AND('Mapa final'!$J$30="Muy Alta",'Mapa final'!$N$30="Catastrófico"),CONCATENATE("R",'Mapa final'!$C$30),"")</f>
        <v/>
      </c>
      <c r="AK8" s="417"/>
      <c r="AL8" s="417" t="e">
        <f>IF(AND('Mapa final'!#REF!="Muy Alta",'Mapa final'!#REF!="Catastrófico"),CONCATENATE("R",'Mapa final'!#REF!),"")</f>
        <v>#REF!</v>
      </c>
      <c r="AM8" s="418"/>
      <c r="AN8" s="76"/>
      <c r="AO8" s="450"/>
      <c r="AP8" s="451"/>
      <c r="AQ8" s="451"/>
      <c r="AR8" s="451"/>
      <c r="AS8" s="451"/>
      <c r="AT8" s="452"/>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row>
    <row r="9" spans="1:99" ht="15" customHeight="1" x14ac:dyDescent="0.25">
      <c r="A9" s="76"/>
      <c r="B9" s="445"/>
      <c r="C9" s="445"/>
      <c r="D9" s="446"/>
      <c r="E9" s="438"/>
      <c r="F9" s="439"/>
      <c r="G9" s="439"/>
      <c r="H9" s="439"/>
      <c r="I9" s="440"/>
      <c r="J9" s="425"/>
      <c r="K9" s="426"/>
      <c r="L9" s="426"/>
      <c r="M9" s="426"/>
      <c r="N9" s="426"/>
      <c r="O9" s="427"/>
      <c r="P9" s="425"/>
      <c r="Q9" s="426"/>
      <c r="R9" s="426"/>
      <c r="S9" s="426"/>
      <c r="T9" s="426"/>
      <c r="U9" s="427"/>
      <c r="V9" s="425"/>
      <c r="W9" s="426"/>
      <c r="X9" s="426"/>
      <c r="Y9" s="426"/>
      <c r="Z9" s="426"/>
      <c r="AA9" s="427"/>
      <c r="AB9" s="425"/>
      <c r="AC9" s="426"/>
      <c r="AD9" s="426"/>
      <c r="AE9" s="426"/>
      <c r="AF9" s="426"/>
      <c r="AG9" s="427"/>
      <c r="AH9" s="416"/>
      <c r="AI9" s="417"/>
      <c r="AJ9" s="417"/>
      <c r="AK9" s="417"/>
      <c r="AL9" s="417"/>
      <c r="AM9" s="418"/>
      <c r="AN9" s="76"/>
      <c r="AO9" s="450"/>
      <c r="AP9" s="451"/>
      <c r="AQ9" s="451"/>
      <c r="AR9" s="451"/>
      <c r="AS9" s="451"/>
      <c r="AT9" s="452"/>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row>
    <row r="10" spans="1:99" ht="15" customHeight="1" x14ac:dyDescent="0.25">
      <c r="A10" s="76"/>
      <c r="B10" s="445"/>
      <c r="C10" s="445"/>
      <c r="D10" s="446"/>
      <c r="E10" s="438"/>
      <c r="F10" s="439"/>
      <c r="G10" s="439"/>
      <c r="H10" s="439"/>
      <c r="I10" s="440"/>
      <c r="J10" s="425" t="e">
        <f>IF(AND('Mapa final'!#REF!="Muy Alta",'Mapa final'!#REF!="Leve"),CONCATENATE("R",'Mapa final'!#REF!),"")</f>
        <v>#REF!</v>
      </c>
      <c r="K10" s="426"/>
      <c r="L10" s="426" t="e">
        <f>IF(AND('Mapa final'!#REF!="Muy Alta",'Mapa final'!#REF!="Leve"),CONCATENATE("R",'Mapa final'!#REF!),"")</f>
        <v>#REF!</v>
      </c>
      <c r="M10" s="426"/>
      <c r="N10" s="426" t="e">
        <f>IF(AND('Mapa final'!#REF!="Muy Alta",'Mapa final'!#REF!="Leve"),CONCATENATE("R",'Mapa final'!#REF!),"")</f>
        <v>#REF!</v>
      </c>
      <c r="O10" s="427"/>
      <c r="P10" s="425" t="e">
        <f>IF(AND('Mapa final'!#REF!="Muy Alta",'Mapa final'!#REF!="Menor"),CONCATENATE("R",'Mapa final'!#REF!),"")</f>
        <v>#REF!</v>
      </c>
      <c r="Q10" s="426"/>
      <c r="R10" s="426" t="e">
        <f>IF(AND('Mapa final'!#REF!="Muy Alta",'Mapa final'!#REF!="Menor"),CONCATENATE("R",'Mapa final'!#REF!),"")</f>
        <v>#REF!</v>
      </c>
      <c r="S10" s="426"/>
      <c r="T10" s="426" t="e">
        <f>IF(AND('Mapa final'!#REF!="Muy Alta",'Mapa final'!#REF!="Menor"),CONCATENATE("R",'Mapa final'!#REF!),"")</f>
        <v>#REF!</v>
      </c>
      <c r="U10" s="427"/>
      <c r="V10" s="425" t="e">
        <f>IF(AND('Mapa final'!#REF!="Muy Alta",'Mapa final'!#REF!="Moderado"),CONCATENATE("R",'Mapa final'!#REF!),"")</f>
        <v>#REF!</v>
      </c>
      <c r="W10" s="426"/>
      <c r="X10" s="426" t="e">
        <f>IF(AND('Mapa final'!#REF!="Muy Alta",'Mapa final'!#REF!="Moderado"),CONCATENATE("R",'Mapa final'!#REF!),"")</f>
        <v>#REF!</v>
      </c>
      <c r="Y10" s="426"/>
      <c r="Z10" s="426" t="e">
        <f>IF(AND('Mapa final'!#REF!="Muy Alta",'Mapa final'!#REF!="Moderado"),CONCATENATE("R",'Mapa final'!#REF!),"")</f>
        <v>#REF!</v>
      </c>
      <c r="AA10" s="427"/>
      <c r="AB10" s="425" t="e">
        <f>IF(AND('Mapa final'!#REF!="Muy Alta",'Mapa final'!#REF!="Mayor"),CONCATENATE("R",'Mapa final'!#REF!),"")</f>
        <v>#REF!</v>
      </c>
      <c r="AC10" s="426"/>
      <c r="AD10" s="426" t="e">
        <f>IF(AND('Mapa final'!#REF!="Muy Alta",'Mapa final'!#REF!="Mayor"),CONCATENATE("R",'Mapa final'!#REF!),"")</f>
        <v>#REF!</v>
      </c>
      <c r="AE10" s="426"/>
      <c r="AF10" s="426" t="e">
        <f>IF(AND('Mapa final'!#REF!="Muy Alta",'Mapa final'!#REF!="Mayor"),CONCATENATE("R",'Mapa final'!#REF!),"")</f>
        <v>#REF!</v>
      </c>
      <c r="AG10" s="427"/>
      <c r="AH10" s="416" t="e">
        <f>IF(AND('Mapa final'!#REF!="Muy Alta",'Mapa final'!#REF!="Catastrófico"),CONCATENATE("R",'Mapa final'!#REF!),"")</f>
        <v>#REF!</v>
      </c>
      <c r="AI10" s="417"/>
      <c r="AJ10" s="417" t="e">
        <f>IF(AND('Mapa final'!#REF!="Muy Alta",'Mapa final'!#REF!="Catastrófico"),CONCATENATE("R",'Mapa final'!#REF!),"")</f>
        <v>#REF!</v>
      </c>
      <c r="AK10" s="417"/>
      <c r="AL10" s="417" t="e">
        <f>IF(AND('Mapa final'!#REF!="Muy Alta",'Mapa final'!#REF!="Catastrófico"),CONCATENATE("R",'Mapa final'!#REF!),"")</f>
        <v>#REF!</v>
      </c>
      <c r="AM10" s="418"/>
      <c r="AN10" s="76"/>
      <c r="AO10" s="450"/>
      <c r="AP10" s="451"/>
      <c r="AQ10" s="451"/>
      <c r="AR10" s="451"/>
      <c r="AS10" s="451"/>
      <c r="AT10" s="452"/>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row>
    <row r="11" spans="1:99" ht="15" customHeight="1" x14ac:dyDescent="0.25">
      <c r="A11" s="76"/>
      <c r="B11" s="445"/>
      <c r="C11" s="445"/>
      <c r="D11" s="446"/>
      <c r="E11" s="438"/>
      <c r="F11" s="439"/>
      <c r="G11" s="439"/>
      <c r="H11" s="439"/>
      <c r="I11" s="440"/>
      <c r="J11" s="425"/>
      <c r="K11" s="426"/>
      <c r="L11" s="426"/>
      <c r="M11" s="426"/>
      <c r="N11" s="426"/>
      <c r="O11" s="427"/>
      <c r="P11" s="425"/>
      <c r="Q11" s="426"/>
      <c r="R11" s="426"/>
      <c r="S11" s="426"/>
      <c r="T11" s="426"/>
      <c r="U11" s="427"/>
      <c r="V11" s="425"/>
      <c r="W11" s="426"/>
      <c r="X11" s="426"/>
      <c r="Y11" s="426"/>
      <c r="Z11" s="426"/>
      <c r="AA11" s="427"/>
      <c r="AB11" s="425"/>
      <c r="AC11" s="426"/>
      <c r="AD11" s="426"/>
      <c r="AE11" s="426"/>
      <c r="AF11" s="426"/>
      <c r="AG11" s="427"/>
      <c r="AH11" s="416"/>
      <c r="AI11" s="417"/>
      <c r="AJ11" s="417"/>
      <c r="AK11" s="417"/>
      <c r="AL11" s="417"/>
      <c r="AM11" s="418"/>
      <c r="AN11" s="76"/>
      <c r="AO11" s="450"/>
      <c r="AP11" s="451"/>
      <c r="AQ11" s="451"/>
      <c r="AR11" s="451"/>
      <c r="AS11" s="451"/>
      <c r="AT11" s="452"/>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row>
    <row r="12" spans="1:99" ht="15" customHeight="1" x14ac:dyDescent="0.25">
      <c r="A12" s="76"/>
      <c r="B12" s="445"/>
      <c r="C12" s="445"/>
      <c r="D12" s="446"/>
      <c r="E12" s="438"/>
      <c r="F12" s="439"/>
      <c r="G12" s="439"/>
      <c r="H12" s="439"/>
      <c r="I12" s="440"/>
      <c r="J12" s="425" t="e">
        <f>IF(AND('Mapa final'!#REF!="Muy Alta",'Mapa final'!#REF!="Leve"),CONCATENATE("R",'Mapa final'!#REF!),"")</f>
        <v>#REF!</v>
      </c>
      <c r="K12" s="426"/>
      <c r="L12" s="426" t="e">
        <f>IF(AND('Mapa final'!#REF!="Muy Alta",'Mapa final'!#REF!="Leve"),CONCATENATE("R",'Mapa final'!#REF!),"")</f>
        <v>#REF!</v>
      </c>
      <c r="M12" s="426"/>
      <c r="N12" s="426" t="str">
        <f>IF(AND('Mapa final'!$J$45="Muy Alta",'Mapa final'!$N$45="Leve"),CONCATENATE("R",'Mapa final'!$C$45),"")</f>
        <v/>
      </c>
      <c r="O12" s="427"/>
      <c r="P12" s="425" t="e">
        <f>IF(AND('Mapa final'!#REF!="Muy Alta",'Mapa final'!#REF!="Menor"),CONCATENATE("R",'Mapa final'!#REF!),"")</f>
        <v>#REF!</v>
      </c>
      <c r="Q12" s="426"/>
      <c r="R12" s="426" t="e">
        <f>IF(AND('Mapa final'!#REF!="Muy Alta",'Mapa final'!#REF!="Menor"),CONCATENATE("R",'Mapa final'!#REF!),"")</f>
        <v>#REF!</v>
      </c>
      <c r="S12" s="426"/>
      <c r="T12" s="426" t="str">
        <f>IF(AND('Mapa final'!$J$45="Muy Alta",'Mapa final'!$N$45="Menor"),CONCATENATE("R",'Mapa final'!$C$45),"")</f>
        <v/>
      </c>
      <c r="U12" s="427"/>
      <c r="V12" s="425" t="e">
        <f>IF(AND('Mapa final'!#REF!="Muy Alta",'Mapa final'!#REF!="Moderado"),CONCATENATE("R",'Mapa final'!#REF!),"")</f>
        <v>#REF!</v>
      </c>
      <c r="W12" s="426"/>
      <c r="X12" s="426" t="e">
        <f>IF(AND('Mapa final'!#REF!="Muy Alta",'Mapa final'!#REF!="Moderado"),CONCATENATE("R",'Mapa final'!#REF!),"")</f>
        <v>#REF!</v>
      </c>
      <c r="Y12" s="426"/>
      <c r="Z12" s="426" t="str">
        <f>IF(AND('Mapa final'!$J$45="Muy Alta",'Mapa final'!$N$45="Moderado"),CONCATENATE("R",'Mapa final'!$C$45),"")</f>
        <v/>
      </c>
      <c r="AA12" s="427"/>
      <c r="AB12" s="425" t="e">
        <f>IF(AND('Mapa final'!#REF!="Muy Alta",'Mapa final'!#REF!="Mayor"),CONCATENATE("R",'Mapa final'!#REF!),"")</f>
        <v>#REF!</v>
      </c>
      <c r="AC12" s="426"/>
      <c r="AD12" s="426" t="e">
        <f>IF(AND('Mapa final'!#REF!="Muy Alta",'Mapa final'!#REF!="Mayor"),CONCATENATE("R",'Mapa final'!#REF!),"")</f>
        <v>#REF!</v>
      </c>
      <c r="AE12" s="426"/>
      <c r="AF12" s="426" t="str">
        <f>IF(AND('Mapa final'!$J$45="Muy Alta",'Mapa final'!$N$45="Mayor"),CONCATENATE("R",'Mapa final'!$C$45),"")</f>
        <v/>
      </c>
      <c r="AG12" s="427"/>
      <c r="AH12" s="416" t="e">
        <f>IF(AND('Mapa final'!#REF!="Muy Alta",'Mapa final'!#REF!="Catastrófico"),CONCATENATE("R",'Mapa final'!#REF!),"")</f>
        <v>#REF!</v>
      </c>
      <c r="AI12" s="417"/>
      <c r="AJ12" s="417" t="e">
        <f>IF(AND('Mapa final'!#REF!="Muy Alta",'Mapa final'!#REF!="Catastrófico"),CONCATENATE("R",'Mapa final'!#REF!),"")</f>
        <v>#REF!</v>
      </c>
      <c r="AK12" s="417"/>
      <c r="AL12" s="417" t="str">
        <f>IF(AND('Mapa final'!$J$45="Muy Alta",'Mapa final'!$N$45="Catastrófico"),CONCATENATE("R",'Mapa final'!$C$45),"")</f>
        <v/>
      </c>
      <c r="AM12" s="418"/>
      <c r="AN12" s="76"/>
      <c r="AO12" s="450"/>
      <c r="AP12" s="451"/>
      <c r="AQ12" s="451"/>
      <c r="AR12" s="451"/>
      <c r="AS12" s="451"/>
      <c r="AT12" s="452"/>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row>
    <row r="13" spans="1:99" ht="15.75" customHeight="1" thickBot="1" x14ac:dyDescent="0.3">
      <c r="A13" s="76"/>
      <c r="B13" s="445"/>
      <c r="C13" s="445"/>
      <c r="D13" s="446"/>
      <c r="E13" s="441"/>
      <c r="F13" s="442"/>
      <c r="G13" s="442"/>
      <c r="H13" s="442"/>
      <c r="I13" s="443"/>
      <c r="J13" s="425"/>
      <c r="K13" s="426"/>
      <c r="L13" s="426"/>
      <c r="M13" s="426"/>
      <c r="N13" s="426"/>
      <c r="O13" s="427"/>
      <c r="P13" s="425"/>
      <c r="Q13" s="426"/>
      <c r="R13" s="426"/>
      <c r="S13" s="426"/>
      <c r="T13" s="426"/>
      <c r="U13" s="427"/>
      <c r="V13" s="425"/>
      <c r="W13" s="426"/>
      <c r="X13" s="426"/>
      <c r="Y13" s="426"/>
      <c r="Z13" s="426"/>
      <c r="AA13" s="427"/>
      <c r="AB13" s="425"/>
      <c r="AC13" s="426"/>
      <c r="AD13" s="426"/>
      <c r="AE13" s="426"/>
      <c r="AF13" s="426"/>
      <c r="AG13" s="427"/>
      <c r="AH13" s="419"/>
      <c r="AI13" s="420"/>
      <c r="AJ13" s="420"/>
      <c r="AK13" s="420"/>
      <c r="AL13" s="420"/>
      <c r="AM13" s="421"/>
      <c r="AN13" s="76"/>
      <c r="AO13" s="453"/>
      <c r="AP13" s="454"/>
      <c r="AQ13" s="454"/>
      <c r="AR13" s="454"/>
      <c r="AS13" s="454"/>
      <c r="AT13" s="455"/>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row>
    <row r="14" spans="1:99" ht="15" customHeight="1" x14ac:dyDescent="0.25">
      <c r="A14" s="76"/>
      <c r="B14" s="445"/>
      <c r="C14" s="445"/>
      <c r="D14" s="446"/>
      <c r="E14" s="435" t="s">
        <v>115</v>
      </c>
      <c r="F14" s="436"/>
      <c r="G14" s="436"/>
      <c r="H14" s="436"/>
      <c r="I14" s="436"/>
      <c r="J14" s="413" t="str">
        <f>IF(AND('Mapa final'!$J$20="Alta",'Mapa final'!$N$20="Leve"),CONCATENATE("R",'Mapa final'!$C$20),"")</f>
        <v/>
      </c>
      <c r="K14" s="414"/>
      <c r="L14" s="414" t="str">
        <f>IF(AND('Mapa final'!$J$23="Alta",'Mapa final'!$N$23="Leve"),CONCATENATE("R",'Mapa final'!$C$23),"")</f>
        <v/>
      </c>
      <c r="M14" s="414"/>
      <c r="N14" s="414" t="str">
        <f>IF(AND('Mapa final'!$J$24="Alta",'Mapa final'!$N$24="Leve"),CONCATENATE("R",'Mapa final'!$C$24),"")</f>
        <v/>
      </c>
      <c r="O14" s="415"/>
      <c r="P14" s="413" t="str">
        <f>IF(AND('Mapa final'!$J$20="Alta",'Mapa final'!$N$20="Menor"),CONCATENATE("R",'Mapa final'!$C$20),"")</f>
        <v/>
      </c>
      <c r="Q14" s="414"/>
      <c r="R14" s="414" t="str">
        <f>IF(AND('Mapa final'!$J$23="Alta",'Mapa final'!$N$23="Menor"),CONCATENATE("R",'Mapa final'!$C$23),"")</f>
        <v/>
      </c>
      <c r="S14" s="414"/>
      <c r="T14" s="414" t="str">
        <f>IF(AND('Mapa final'!$J$24="Alta",'Mapa final'!$N$24="Menor"),CONCATENATE("R",'Mapa final'!$C$24),"")</f>
        <v/>
      </c>
      <c r="U14" s="415"/>
      <c r="V14" s="431" t="str">
        <f>IF(AND('Mapa final'!$J$20="Alta",'Mapa final'!$N$20="Moderado"),CONCATENATE("R",'Mapa final'!$C$20),"")</f>
        <v/>
      </c>
      <c r="W14" s="432"/>
      <c r="X14" s="432" t="str">
        <f>IF(AND('Mapa final'!$J$23="Alta",'Mapa final'!$N$23="Moderado"),CONCATENATE("R",'Mapa final'!$C$23),"")</f>
        <v/>
      </c>
      <c r="Y14" s="432"/>
      <c r="Z14" s="432" t="str">
        <f>IF(AND('Mapa final'!$J$24="Alta",'Mapa final'!$N$24="Moderado"),CONCATENATE("R",'Mapa final'!$C$24),"")</f>
        <v/>
      </c>
      <c r="AA14" s="433"/>
      <c r="AB14" s="431" t="str">
        <f>IF(AND('Mapa final'!$J$20="Alta",'Mapa final'!$N$20="Mayor"),CONCATENATE("R",'Mapa final'!$C$20),"")</f>
        <v/>
      </c>
      <c r="AC14" s="432"/>
      <c r="AD14" s="432" t="str">
        <f>IF(AND('Mapa final'!$J$23="Alta",'Mapa final'!$N$23="Mayor"),CONCATENATE("R",'Mapa final'!$C$23),"")</f>
        <v/>
      </c>
      <c r="AE14" s="432"/>
      <c r="AF14" s="432" t="str">
        <f>IF(AND('Mapa final'!$J$24="Alta",'Mapa final'!$N$24="Mayor"),CONCATENATE("R",'Mapa final'!$C$24),"")</f>
        <v/>
      </c>
      <c r="AG14" s="433"/>
      <c r="AH14" s="422" t="str">
        <f>IF(AND('Mapa final'!$J$20="Alta",'Mapa final'!$N$20="Catastrófico"),CONCATENATE("R",'Mapa final'!$C$20),"")</f>
        <v/>
      </c>
      <c r="AI14" s="423"/>
      <c r="AJ14" s="423" t="str">
        <f>IF(AND('Mapa final'!$J$23="Alta",'Mapa final'!$N$23="Catastrófico"),CONCATENATE("R",'Mapa final'!$C$23),"")</f>
        <v/>
      </c>
      <c r="AK14" s="423"/>
      <c r="AL14" s="423" t="str">
        <f>IF(AND('Mapa final'!$J$24="Alta",'Mapa final'!$N$24="Catastrófico"),CONCATENATE("R",'Mapa final'!$C$24),"")</f>
        <v/>
      </c>
      <c r="AM14" s="424"/>
      <c r="AN14" s="76"/>
      <c r="AO14" s="456" t="s">
        <v>80</v>
      </c>
      <c r="AP14" s="457"/>
      <c r="AQ14" s="457"/>
      <c r="AR14" s="457"/>
      <c r="AS14" s="457"/>
      <c r="AT14" s="458"/>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row>
    <row r="15" spans="1:99" ht="15" customHeight="1" x14ac:dyDescent="0.25">
      <c r="A15" s="76"/>
      <c r="B15" s="445"/>
      <c r="C15" s="445"/>
      <c r="D15" s="446"/>
      <c r="E15" s="438"/>
      <c r="F15" s="439"/>
      <c r="G15" s="439"/>
      <c r="H15" s="439"/>
      <c r="I15" s="439"/>
      <c r="J15" s="407"/>
      <c r="K15" s="408"/>
      <c r="L15" s="408"/>
      <c r="M15" s="408"/>
      <c r="N15" s="408"/>
      <c r="O15" s="409"/>
      <c r="P15" s="407"/>
      <c r="Q15" s="408"/>
      <c r="R15" s="408"/>
      <c r="S15" s="408"/>
      <c r="T15" s="408"/>
      <c r="U15" s="409"/>
      <c r="V15" s="425"/>
      <c r="W15" s="426"/>
      <c r="X15" s="426"/>
      <c r="Y15" s="426"/>
      <c r="Z15" s="426"/>
      <c r="AA15" s="427"/>
      <c r="AB15" s="425"/>
      <c r="AC15" s="426"/>
      <c r="AD15" s="426"/>
      <c r="AE15" s="426"/>
      <c r="AF15" s="426"/>
      <c r="AG15" s="427"/>
      <c r="AH15" s="416"/>
      <c r="AI15" s="417"/>
      <c r="AJ15" s="417"/>
      <c r="AK15" s="417"/>
      <c r="AL15" s="417"/>
      <c r="AM15" s="418"/>
      <c r="AN15" s="76"/>
      <c r="AO15" s="459"/>
      <c r="AP15" s="460"/>
      <c r="AQ15" s="460"/>
      <c r="AR15" s="460"/>
      <c r="AS15" s="460"/>
      <c r="AT15" s="461"/>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row>
    <row r="16" spans="1:99" ht="15" customHeight="1" x14ac:dyDescent="0.25">
      <c r="A16" s="76"/>
      <c r="B16" s="445"/>
      <c r="C16" s="445"/>
      <c r="D16" s="446"/>
      <c r="E16" s="438"/>
      <c r="F16" s="439"/>
      <c r="G16" s="439"/>
      <c r="H16" s="439"/>
      <c r="I16" s="439"/>
      <c r="J16" s="407" t="str">
        <f>IF(AND('Mapa final'!$J$27="Alta",'Mapa final'!$N$27="Leve"),CONCATENATE("R",'Mapa final'!$C$27),"")</f>
        <v/>
      </c>
      <c r="K16" s="408"/>
      <c r="L16" s="408" t="str">
        <f>IF(AND('Mapa final'!$J$30="Alta",'Mapa final'!$N$30="Leve"),CONCATENATE("R",'Mapa final'!$C$30),"")</f>
        <v/>
      </c>
      <c r="M16" s="408"/>
      <c r="N16" s="408" t="e">
        <f>IF(AND('Mapa final'!#REF!="Alta",'Mapa final'!#REF!="Leve"),CONCATENATE("R",'Mapa final'!#REF!),"")</f>
        <v>#REF!</v>
      </c>
      <c r="O16" s="409"/>
      <c r="P16" s="407" t="str">
        <f>IF(AND('Mapa final'!$J$27="Alta",'Mapa final'!$N$27="Menor"),CONCATENATE("R",'Mapa final'!$C$27),"")</f>
        <v/>
      </c>
      <c r="Q16" s="408"/>
      <c r="R16" s="408" t="str">
        <f>IF(AND('Mapa final'!$J$30="Alta",'Mapa final'!$N$30="Menor"),CONCATENATE("R",'Mapa final'!$C$30),"")</f>
        <v/>
      </c>
      <c r="S16" s="408"/>
      <c r="T16" s="408" t="e">
        <f>IF(AND('Mapa final'!#REF!="Alta",'Mapa final'!#REF!="Menor"),CONCATENATE("R",'Mapa final'!#REF!),"")</f>
        <v>#REF!</v>
      </c>
      <c r="U16" s="409"/>
      <c r="V16" s="425" t="str">
        <f>IF(AND('Mapa final'!$J$27="Alta",'Mapa final'!$N$27="Moderado"),CONCATENATE("R",'Mapa final'!$C$27),"")</f>
        <v/>
      </c>
      <c r="W16" s="426"/>
      <c r="X16" s="426" t="str">
        <f>IF(AND('Mapa final'!$J$30="Alta",'Mapa final'!$N$30="Moderado"),CONCATENATE("R",'Mapa final'!$C$30),"")</f>
        <v/>
      </c>
      <c r="Y16" s="426"/>
      <c r="Z16" s="426" t="e">
        <f>IF(AND('Mapa final'!#REF!="Alta",'Mapa final'!#REF!="Moderado"),CONCATENATE("R",'Mapa final'!#REF!),"")</f>
        <v>#REF!</v>
      </c>
      <c r="AA16" s="427"/>
      <c r="AB16" s="425" t="str">
        <f>IF(AND('Mapa final'!$J$27="Alta",'Mapa final'!$N$27="Mayor"),CONCATENATE("R",'Mapa final'!$C$27),"")</f>
        <v/>
      </c>
      <c r="AC16" s="426"/>
      <c r="AD16" s="426" t="str">
        <f>IF(AND('Mapa final'!$J$30="Alta",'Mapa final'!$N$30="Mayor"),CONCATENATE("R",'Mapa final'!$C$30),"")</f>
        <v/>
      </c>
      <c r="AE16" s="426"/>
      <c r="AF16" s="426" t="e">
        <f>IF(AND('Mapa final'!#REF!="Alta",'Mapa final'!#REF!="Mayor"),CONCATENATE("R",'Mapa final'!#REF!),"")</f>
        <v>#REF!</v>
      </c>
      <c r="AG16" s="427"/>
      <c r="AH16" s="416" t="str">
        <f>IF(AND('Mapa final'!$J$27="Alta",'Mapa final'!$N$27="Catastrófico"),CONCATENATE("R",'Mapa final'!$C$27),"")</f>
        <v/>
      </c>
      <c r="AI16" s="417"/>
      <c r="AJ16" s="417" t="str">
        <f>IF(AND('Mapa final'!$J$30="Alta",'Mapa final'!$N$30="Catastrófico"),CONCATENATE("R",'Mapa final'!$C$30),"")</f>
        <v/>
      </c>
      <c r="AK16" s="417"/>
      <c r="AL16" s="417" t="e">
        <f>IF(AND('Mapa final'!#REF!="Alta",'Mapa final'!#REF!="Catastrófico"),CONCATENATE("R",'Mapa final'!#REF!),"")</f>
        <v>#REF!</v>
      </c>
      <c r="AM16" s="418"/>
      <c r="AN16" s="76"/>
      <c r="AO16" s="459"/>
      <c r="AP16" s="460"/>
      <c r="AQ16" s="460"/>
      <c r="AR16" s="460"/>
      <c r="AS16" s="460"/>
      <c r="AT16" s="461"/>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row>
    <row r="17" spans="1:80" ht="15" customHeight="1" x14ac:dyDescent="0.25">
      <c r="A17" s="76"/>
      <c r="B17" s="445"/>
      <c r="C17" s="445"/>
      <c r="D17" s="446"/>
      <c r="E17" s="438"/>
      <c r="F17" s="439"/>
      <c r="G17" s="439"/>
      <c r="H17" s="439"/>
      <c r="I17" s="439"/>
      <c r="J17" s="407"/>
      <c r="K17" s="408"/>
      <c r="L17" s="408"/>
      <c r="M17" s="408"/>
      <c r="N17" s="408"/>
      <c r="O17" s="409"/>
      <c r="P17" s="407"/>
      <c r="Q17" s="408"/>
      <c r="R17" s="408"/>
      <c r="S17" s="408"/>
      <c r="T17" s="408"/>
      <c r="U17" s="409"/>
      <c r="V17" s="425"/>
      <c r="W17" s="426"/>
      <c r="X17" s="426"/>
      <c r="Y17" s="426"/>
      <c r="Z17" s="426"/>
      <c r="AA17" s="427"/>
      <c r="AB17" s="425"/>
      <c r="AC17" s="426"/>
      <c r="AD17" s="426"/>
      <c r="AE17" s="426"/>
      <c r="AF17" s="426"/>
      <c r="AG17" s="427"/>
      <c r="AH17" s="416"/>
      <c r="AI17" s="417"/>
      <c r="AJ17" s="417"/>
      <c r="AK17" s="417"/>
      <c r="AL17" s="417"/>
      <c r="AM17" s="418"/>
      <c r="AN17" s="76"/>
      <c r="AO17" s="459"/>
      <c r="AP17" s="460"/>
      <c r="AQ17" s="460"/>
      <c r="AR17" s="460"/>
      <c r="AS17" s="460"/>
      <c r="AT17" s="461"/>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row>
    <row r="18" spans="1:80" ht="15" customHeight="1" x14ac:dyDescent="0.25">
      <c r="A18" s="76"/>
      <c r="B18" s="445"/>
      <c r="C18" s="445"/>
      <c r="D18" s="446"/>
      <c r="E18" s="438"/>
      <c r="F18" s="439"/>
      <c r="G18" s="439"/>
      <c r="H18" s="439"/>
      <c r="I18" s="439"/>
      <c r="J18" s="407" t="e">
        <f>IF(AND('Mapa final'!#REF!="Alta",'Mapa final'!#REF!="Leve"),CONCATENATE("R",'Mapa final'!#REF!),"")</f>
        <v>#REF!</v>
      </c>
      <c r="K18" s="408"/>
      <c r="L18" s="408" t="e">
        <f>IF(AND('Mapa final'!#REF!="Alta",'Mapa final'!#REF!="Leve"),CONCATENATE("R",'Mapa final'!#REF!),"")</f>
        <v>#REF!</v>
      </c>
      <c r="M18" s="408"/>
      <c r="N18" s="408" t="e">
        <f>IF(AND('Mapa final'!#REF!="Alta",'Mapa final'!#REF!="Leve"),CONCATENATE("R",'Mapa final'!#REF!),"")</f>
        <v>#REF!</v>
      </c>
      <c r="O18" s="409"/>
      <c r="P18" s="407" t="e">
        <f>IF(AND('Mapa final'!#REF!="Alta",'Mapa final'!#REF!="Menor"),CONCATENATE("R",'Mapa final'!#REF!),"")</f>
        <v>#REF!</v>
      </c>
      <c r="Q18" s="408"/>
      <c r="R18" s="408" t="e">
        <f>IF(AND('Mapa final'!#REF!="Alta",'Mapa final'!#REF!="Menor"),CONCATENATE("R",'Mapa final'!#REF!),"")</f>
        <v>#REF!</v>
      </c>
      <c r="S18" s="408"/>
      <c r="T18" s="408" t="e">
        <f>IF(AND('Mapa final'!#REF!="Alta",'Mapa final'!#REF!="Menor"),CONCATENATE("R",'Mapa final'!#REF!),"")</f>
        <v>#REF!</v>
      </c>
      <c r="U18" s="409"/>
      <c r="V18" s="425" t="e">
        <f>IF(AND('Mapa final'!#REF!="Alta",'Mapa final'!#REF!="Moderado"),CONCATENATE("R",'Mapa final'!#REF!),"")</f>
        <v>#REF!</v>
      </c>
      <c r="W18" s="426"/>
      <c r="X18" s="426" t="e">
        <f>IF(AND('Mapa final'!#REF!="Alta",'Mapa final'!#REF!="Moderado"),CONCATENATE("R",'Mapa final'!#REF!),"")</f>
        <v>#REF!</v>
      </c>
      <c r="Y18" s="426"/>
      <c r="Z18" s="426" t="e">
        <f>IF(AND('Mapa final'!#REF!="Alta",'Mapa final'!#REF!="Moderado"),CONCATENATE("R",'Mapa final'!#REF!),"")</f>
        <v>#REF!</v>
      </c>
      <c r="AA18" s="427"/>
      <c r="AB18" s="425" t="e">
        <f>IF(AND('Mapa final'!#REF!="Alta",'Mapa final'!#REF!="Mayor"),CONCATENATE("R",'Mapa final'!#REF!),"")</f>
        <v>#REF!</v>
      </c>
      <c r="AC18" s="426"/>
      <c r="AD18" s="426" t="e">
        <f>IF(AND('Mapa final'!#REF!="Alta",'Mapa final'!#REF!="Mayor"),CONCATENATE("R",'Mapa final'!#REF!),"")</f>
        <v>#REF!</v>
      </c>
      <c r="AE18" s="426"/>
      <c r="AF18" s="426" t="e">
        <f>IF(AND('Mapa final'!#REF!="Alta",'Mapa final'!#REF!="Mayor"),CONCATENATE("R",'Mapa final'!#REF!),"")</f>
        <v>#REF!</v>
      </c>
      <c r="AG18" s="427"/>
      <c r="AH18" s="416" t="e">
        <f>IF(AND('Mapa final'!#REF!="Alta",'Mapa final'!#REF!="Catastrófico"),CONCATENATE("R",'Mapa final'!#REF!),"")</f>
        <v>#REF!</v>
      </c>
      <c r="AI18" s="417"/>
      <c r="AJ18" s="417" t="e">
        <f>IF(AND('Mapa final'!#REF!="Alta",'Mapa final'!#REF!="Catastrófico"),CONCATENATE("R",'Mapa final'!#REF!),"")</f>
        <v>#REF!</v>
      </c>
      <c r="AK18" s="417"/>
      <c r="AL18" s="417" t="e">
        <f>IF(AND('Mapa final'!#REF!="Alta",'Mapa final'!#REF!="Catastrófico"),CONCATENATE("R",'Mapa final'!#REF!),"")</f>
        <v>#REF!</v>
      </c>
      <c r="AM18" s="418"/>
      <c r="AN18" s="76"/>
      <c r="AO18" s="459"/>
      <c r="AP18" s="460"/>
      <c r="AQ18" s="460"/>
      <c r="AR18" s="460"/>
      <c r="AS18" s="460"/>
      <c r="AT18" s="461"/>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row>
    <row r="19" spans="1:80" ht="15" customHeight="1" x14ac:dyDescent="0.25">
      <c r="A19" s="76"/>
      <c r="B19" s="445"/>
      <c r="C19" s="445"/>
      <c r="D19" s="446"/>
      <c r="E19" s="438"/>
      <c r="F19" s="439"/>
      <c r="G19" s="439"/>
      <c r="H19" s="439"/>
      <c r="I19" s="439"/>
      <c r="J19" s="407"/>
      <c r="K19" s="408"/>
      <c r="L19" s="408"/>
      <c r="M19" s="408"/>
      <c r="N19" s="408"/>
      <c r="O19" s="409"/>
      <c r="P19" s="407"/>
      <c r="Q19" s="408"/>
      <c r="R19" s="408"/>
      <c r="S19" s="408"/>
      <c r="T19" s="408"/>
      <c r="U19" s="409"/>
      <c r="V19" s="425"/>
      <c r="W19" s="426"/>
      <c r="X19" s="426"/>
      <c r="Y19" s="426"/>
      <c r="Z19" s="426"/>
      <c r="AA19" s="427"/>
      <c r="AB19" s="425"/>
      <c r="AC19" s="426"/>
      <c r="AD19" s="426"/>
      <c r="AE19" s="426"/>
      <c r="AF19" s="426"/>
      <c r="AG19" s="427"/>
      <c r="AH19" s="416"/>
      <c r="AI19" s="417"/>
      <c r="AJ19" s="417"/>
      <c r="AK19" s="417"/>
      <c r="AL19" s="417"/>
      <c r="AM19" s="418"/>
      <c r="AN19" s="76"/>
      <c r="AO19" s="459"/>
      <c r="AP19" s="460"/>
      <c r="AQ19" s="460"/>
      <c r="AR19" s="460"/>
      <c r="AS19" s="460"/>
      <c r="AT19" s="461"/>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row>
    <row r="20" spans="1:80" ht="15" customHeight="1" x14ac:dyDescent="0.25">
      <c r="A20" s="76"/>
      <c r="B20" s="445"/>
      <c r="C20" s="445"/>
      <c r="D20" s="446"/>
      <c r="E20" s="438"/>
      <c r="F20" s="439"/>
      <c r="G20" s="439"/>
      <c r="H20" s="439"/>
      <c r="I20" s="439"/>
      <c r="J20" s="407" t="e">
        <f>IF(AND('Mapa final'!#REF!="Alta",'Mapa final'!#REF!="Leve"),CONCATENATE("R",'Mapa final'!#REF!),"")</f>
        <v>#REF!</v>
      </c>
      <c r="K20" s="408"/>
      <c r="L20" s="408" t="e">
        <f>IF(AND('Mapa final'!#REF!="Alta",'Mapa final'!#REF!="Leve"),CONCATENATE("R",'Mapa final'!#REF!),"")</f>
        <v>#REF!</v>
      </c>
      <c r="M20" s="408"/>
      <c r="N20" s="408" t="str">
        <f>IF(AND('Mapa final'!$J$45="Alta",'Mapa final'!$N$45="Leve"),CONCATENATE("R",'Mapa final'!$C$45),"")</f>
        <v/>
      </c>
      <c r="O20" s="409"/>
      <c r="P20" s="407" t="e">
        <f>IF(AND('Mapa final'!#REF!="Alta",'Mapa final'!#REF!="Menor"),CONCATENATE("R",'Mapa final'!#REF!),"")</f>
        <v>#REF!</v>
      </c>
      <c r="Q20" s="408"/>
      <c r="R20" s="408" t="e">
        <f>IF(AND('Mapa final'!#REF!="Alta",'Mapa final'!#REF!="Menor"),CONCATENATE("R",'Mapa final'!#REF!),"")</f>
        <v>#REF!</v>
      </c>
      <c r="S20" s="408"/>
      <c r="T20" s="408" t="str">
        <f>IF(AND('Mapa final'!$J$45="Alta",'Mapa final'!$N$45="Menor"),CONCATENATE("R",'Mapa final'!$C$45),"")</f>
        <v/>
      </c>
      <c r="U20" s="409"/>
      <c r="V20" s="425" t="e">
        <f>IF(AND('Mapa final'!#REF!="Alta",'Mapa final'!#REF!="Moderado"),CONCATENATE("R",'Mapa final'!#REF!),"")</f>
        <v>#REF!</v>
      </c>
      <c r="W20" s="426"/>
      <c r="X20" s="426" t="e">
        <f>IF(AND('Mapa final'!#REF!="Alta",'Mapa final'!#REF!="Moderado"),CONCATENATE("R",'Mapa final'!#REF!),"")</f>
        <v>#REF!</v>
      </c>
      <c r="Y20" s="426"/>
      <c r="Z20" s="426" t="str">
        <f>IF(AND('Mapa final'!$J$45="Alta",'Mapa final'!$N$45="Moderado"),CONCATENATE("R",'Mapa final'!$C$45),"")</f>
        <v/>
      </c>
      <c r="AA20" s="427"/>
      <c r="AB20" s="425" t="e">
        <f>IF(AND('Mapa final'!#REF!="Alta",'Mapa final'!#REF!="Mayor"),CONCATENATE("R",'Mapa final'!#REF!),"")</f>
        <v>#REF!</v>
      </c>
      <c r="AC20" s="426"/>
      <c r="AD20" s="426" t="e">
        <f>IF(AND('Mapa final'!#REF!="Alta",'Mapa final'!#REF!="Mayor"),CONCATENATE("R",'Mapa final'!#REF!),"")</f>
        <v>#REF!</v>
      </c>
      <c r="AE20" s="426"/>
      <c r="AF20" s="426" t="str">
        <f>IF(AND('Mapa final'!$J$45="Alta",'Mapa final'!$N$45="Mayor"),CONCATENATE("R",'Mapa final'!$C$45),"")</f>
        <v/>
      </c>
      <c r="AG20" s="427"/>
      <c r="AH20" s="416" t="e">
        <f>IF(AND('Mapa final'!#REF!="Alta",'Mapa final'!#REF!="Catastrófico"),CONCATENATE("R",'Mapa final'!#REF!),"")</f>
        <v>#REF!</v>
      </c>
      <c r="AI20" s="417"/>
      <c r="AJ20" s="417" t="e">
        <f>IF(AND('Mapa final'!#REF!="Alta",'Mapa final'!#REF!="Catastrófico"),CONCATENATE("R",'Mapa final'!#REF!),"")</f>
        <v>#REF!</v>
      </c>
      <c r="AK20" s="417"/>
      <c r="AL20" s="417" t="str">
        <f>IF(AND('Mapa final'!$J$45="Alta",'Mapa final'!$N$45="Catastrófico"),CONCATENATE("R",'Mapa final'!$C$45),"")</f>
        <v/>
      </c>
      <c r="AM20" s="418"/>
      <c r="AN20" s="76"/>
      <c r="AO20" s="459"/>
      <c r="AP20" s="460"/>
      <c r="AQ20" s="460"/>
      <c r="AR20" s="460"/>
      <c r="AS20" s="460"/>
      <c r="AT20" s="461"/>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row>
    <row r="21" spans="1:80" ht="15.75" customHeight="1" thickBot="1" x14ac:dyDescent="0.3">
      <c r="A21" s="76"/>
      <c r="B21" s="445"/>
      <c r="C21" s="445"/>
      <c r="D21" s="446"/>
      <c r="E21" s="441"/>
      <c r="F21" s="442"/>
      <c r="G21" s="442"/>
      <c r="H21" s="442"/>
      <c r="I21" s="442"/>
      <c r="J21" s="410"/>
      <c r="K21" s="411"/>
      <c r="L21" s="411"/>
      <c r="M21" s="411"/>
      <c r="N21" s="411"/>
      <c r="O21" s="412"/>
      <c r="P21" s="410"/>
      <c r="Q21" s="411"/>
      <c r="R21" s="411"/>
      <c r="S21" s="411"/>
      <c r="T21" s="411"/>
      <c r="U21" s="412"/>
      <c r="V21" s="428"/>
      <c r="W21" s="429"/>
      <c r="X21" s="429"/>
      <c r="Y21" s="429"/>
      <c r="Z21" s="429"/>
      <c r="AA21" s="430"/>
      <c r="AB21" s="428"/>
      <c r="AC21" s="429"/>
      <c r="AD21" s="429"/>
      <c r="AE21" s="429"/>
      <c r="AF21" s="429"/>
      <c r="AG21" s="430"/>
      <c r="AH21" s="419"/>
      <c r="AI21" s="420"/>
      <c r="AJ21" s="420"/>
      <c r="AK21" s="420"/>
      <c r="AL21" s="420"/>
      <c r="AM21" s="421"/>
      <c r="AN21" s="76"/>
      <c r="AO21" s="462"/>
      <c r="AP21" s="463"/>
      <c r="AQ21" s="463"/>
      <c r="AR21" s="463"/>
      <c r="AS21" s="463"/>
      <c r="AT21" s="464"/>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row>
    <row r="22" spans="1:80" x14ac:dyDescent="0.25">
      <c r="A22" s="76"/>
      <c r="B22" s="445"/>
      <c r="C22" s="445"/>
      <c r="D22" s="446"/>
      <c r="E22" s="435" t="s">
        <v>117</v>
      </c>
      <c r="F22" s="436"/>
      <c r="G22" s="436"/>
      <c r="H22" s="436"/>
      <c r="I22" s="437"/>
      <c r="J22" s="413" t="str">
        <f>IF(AND('Mapa final'!$J$20="Media",'Mapa final'!$N$20="Leve"),CONCATENATE("R",'Mapa final'!$C$20),"")</f>
        <v/>
      </c>
      <c r="K22" s="414"/>
      <c r="L22" s="414" t="str">
        <f>IF(AND('Mapa final'!$J$23="Media",'Mapa final'!$N$23="Leve"),CONCATENATE("R",'Mapa final'!$C$23),"")</f>
        <v/>
      </c>
      <c r="M22" s="414"/>
      <c r="N22" s="414" t="str">
        <f>IF(AND('Mapa final'!$J$24="Media",'Mapa final'!$N$24="Leve"),CONCATENATE("R",'Mapa final'!$C$24),"")</f>
        <v/>
      </c>
      <c r="O22" s="415"/>
      <c r="P22" s="413" t="str">
        <f>IF(AND('Mapa final'!$J$20="Media",'Mapa final'!$N$20="Menor"),CONCATENATE("R",'Mapa final'!$C$20),"")</f>
        <v/>
      </c>
      <c r="Q22" s="414"/>
      <c r="R22" s="414" t="str">
        <f>IF(AND('Mapa final'!$J$23="Media",'Mapa final'!$N$23="Menor"),CONCATENATE("R",'Mapa final'!$C$23),"")</f>
        <v>R2</v>
      </c>
      <c r="S22" s="414"/>
      <c r="T22" s="414" t="str">
        <f>IF(AND('Mapa final'!$J$24="Media",'Mapa final'!$N$24="Menor"),CONCATENATE("R",'Mapa final'!$C$24),"")</f>
        <v/>
      </c>
      <c r="U22" s="415"/>
      <c r="V22" s="413" t="str">
        <f>IF(AND('Mapa final'!$J$20="Media",'Mapa final'!$N$20="Moderado"),CONCATENATE("R",'Mapa final'!$C$20),"")</f>
        <v>R1</v>
      </c>
      <c r="W22" s="414"/>
      <c r="X22" s="414" t="str">
        <f>IF(AND('Mapa final'!$J$23="Media",'Mapa final'!$N$23="Moderado"),CONCATENATE("R",'Mapa final'!$C$23),"")</f>
        <v/>
      </c>
      <c r="Y22" s="414"/>
      <c r="Z22" s="414" t="str">
        <f>IF(AND('Mapa final'!$J$24="Media",'Mapa final'!$N$24="Moderado"),CONCATENATE("R",'Mapa final'!$C$24),"")</f>
        <v/>
      </c>
      <c r="AA22" s="415"/>
      <c r="AB22" s="431" t="str">
        <f>IF(AND('Mapa final'!$J$20="Media",'Mapa final'!$N$20="Mayor"),CONCATENATE("R",'Mapa final'!$C$20),"")</f>
        <v/>
      </c>
      <c r="AC22" s="432"/>
      <c r="AD22" s="432" t="str">
        <f>IF(AND('Mapa final'!$J$23="Media",'Mapa final'!$N$23="Mayor"),CONCATENATE("R",'Mapa final'!$C$23),"")</f>
        <v/>
      </c>
      <c r="AE22" s="432"/>
      <c r="AF22" s="432" t="str">
        <f>IF(AND('Mapa final'!$J$24="Media",'Mapa final'!$N$24="Mayor"),CONCATENATE("R",'Mapa final'!$C$24),"")</f>
        <v>R3</v>
      </c>
      <c r="AG22" s="433"/>
      <c r="AH22" s="422" t="str">
        <f>IF(AND('Mapa final'!$J$20="Media",'Mapa final'!$N$20="Catastrófico"),CONCATENATE("R",'Mapa final'!$C$20),"")</f>
        <v/>
      </c>
      <c r="AI22" s="423"/>
      <c r="AJ22" s="423" t="str">
        <f>IF(AND('Mapa final'!$J$23="Media",'Mapa final'!$N$23="Catastrófico"),CONCATENATE("R",'Mapa final'!$C$23),"")</f>
        <v/>
      </c>
      <c r="AK22" s="423"/>
      <c r="AL22" s="423" t="str">
        <f>IF(AND('Mapa final'!$J$24="Media",'Mapa final'!$N$24="Catastrófico"),CONCATENATE("R",'Mapa final'!$C$24),"")</f>
        <v/>
      </c>
      <c r="AM22" s="424"/>
      <c r="AN22" s="76"/>
      <c r="AO22" s="465" t="s">
        <v>81</v>
      </c>
      <c r="AP22" s="466"/>
      <c r="AQ22" s="466"/>
      <c r="AR22" s="466"/>
      <c r="AS22" s="466"/>
      <c r="AT22" s="467"/>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row>
    <row r="23" spans="1:80" x14ac:dyDescent="0.25">
      <c r="A23" s="76"/>
      <c r="B23" s="445"/>
      <c r="C23" s="445"/>
      <c r="D23" s="446"/>
      <c r="E23" s="438"/>
      <c r="F23" s="439"/>
      <c r="G23" s="439"/>
      <c r="H23" s="439"/>
      <c r="I23" s="440"/>
      <c r="J23" s="407"/>
      <c r="K23" s="408"/>
      <c r="L23" s="408"/>
      <c r="M23" s="408"/>
      <c r="N23" s="408"/>
      <c r="O23" s="409"/>
      <c r="P23" s="407"/>
      <c r="Q23" s="408"/>
      <c r="R23" s="408"/>
      <c r="S23" s="408"/>
      <c r="T23" s="408"/>
      <c r="U23" s="409"/>
      <c r="V23" s="407"/>
      <c r="W23" s="408"/>
      <c r="X23" s="408"/>
      <c r="Y23" s="408"/>
      <c r="Z23" s="408"/>
      <c r="AA23" s="409"/>
      <c r="AB23" s="425"/>
      <c r="AC23" s="426"/>
      <c r="AD23" s="426"/>
      <c r="AE23" s="426"/>
      <c r="AF23" s="426"/>
      <c r="AG23" s="427"/>
      <c r="AH23" s="416"/>
      <c r="AI23" s="417"/>
      <c r="AJ23" s="417"/>
      <c r="AK23" s="417"/>
      <c r="AL23" s="417"/>
      <c r="AM23" s="418"/>
      <c r="AN23" s="76"/>
      <c r="AO23" s="468"/>
      <c r="AP23" s="469"/>
      <c r="AQ23" s="469"/>
      <c r="AR23" s="469"/>
      <c r="AS23" s="469"/>
      <c r="AT23" s="470"/>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row>
    <row r="24" spans="1:80" x14ac:dyDescent="0.25">
      <c r="A24" s="76"/>
      <c r="B24" s="445"/>
      <c r="C24" s="445"/>
      <c r="D24" s="446"/>
      <c r="E24" s="438"/>
      <c r="F24" s="439"/>
      <c r="G24" s="439"/>
      <c r="H24" s="439"/>
      <c r="I24" s="440"/>
      <c r="J24" s="407" t="str">
        <f>IF(AND('Mapa final'!$J$27="Media",'Mapa final'!$N$27="Leve"),CONCATENATE("R",'Mapa final'!$C$27),"")</f>
        <v/>
      </c>
      <c r="K24" s="408"/>
      <c r="L24" s="408" t="str">
        <f>IF(AND('Mapa final'!$J$30="Media",'Mapa final'!$N$30="Leve"),CONCATENATE("R",'Mapa final'!$C$30),"")</f>
        <v/>
      </c>
      <c r="M24" s="408"/>
      <c r="N24" s="408" t="e">
        <f>IF(AND('Mapa final'!#REF!="Media",'Mapa final'!#REF!="Leve"),CONCATENATE("R",'Mapa final'!#REF!),"")</f>
        <v>#REF!</v>
      </c>
      <c r="O24" s="409"/>
      <c r="P24" s="407" t="str">
        <f>IF(AND('Mapa final'!$J$27="Media",'Mapa final'!$N$27="Menor"),CONCATENATE("R",'Mapa final'!$C$27),"")</f>
        <v/>
      </c>
      <c r="Q24" s="408"/>
      <c r="R24" s="408" t="str">
        <f>IF(AND('Mapa final'!$J$30="Media",'Mapa final'!$N$30="Menor"),CONCATENATE("R",'Mapa final'!$C$30),"")</f>
        <v/>
      </c>
      <c r="S24" s="408"/>
      <c r="T24" s="408" t="e">
        <f>IF(AND('Mapa final'!#REF!="Media",'Mapa final'!#REF!="Menor"),CONCATENATE("R",'Mapa final'!#REF!),"")</f>
        <v>#REF!</v>
      </c>
      <c r="U24" s="409"/>
      <c r="V24" s="407" t="str">
        <f>IF(AND('Mapa final'!$J$27="Media",'Mapa final'!$N$27="Moderado"),CONCATENATE("R",'Mapa final'!$C$27),"")</f>
        <v>R4</v>
      </c>
      <c r="W24" s="408"/>
      <c r="X24" s="408" t="str">
        <f>IF(AND('Mapa final'!$J$30="Media",'Mapa final'!$N$30="Moderado"),CONCATENATE("R",'Mapa final'!$C$30),"")</f>
        <v/>
      </c>
      <c r="Y24" s="408"/>
      <c r="Z24" s="408" t="e">
        <f>IF(AND('Mapa final'!#REF!="Media",'Mapa final'!#REF!="Moderado"),CONCATENATE("R",'Mapa final'!#REF!),"")</f>
        <v>#REF!</v>
      </c>
      <c r="AA24" s="409"/>
      <c r="AB24" s="425" t="str">
        <f>IF(AND('Mapa final'!$J$27="Media",'Mapa final'!$N$27="Mayor"),CONCATENATE("R",'Mapa final'!$C$27),"")</f>
        <v/>
      </c>
      <c r="AC24" s="426"/>
      <c r="AD24" s="426" t="str">
        <f>IF(AND('Mapa final'!$J$30="Media",'Mapa final'!$N$30="Mayor"),CONCATENATE("R",'Mapa final'!$C$30),"")</f>
        <v/>
      </c>
      <c r="AE24" s="426"/>
      <c r="AF24" s="426" t="e">
        <f>IF(AND('Mapa final'!#REF!="Media",'Mapa final'!#REF!="Mayor"),CONCATENATE("R",'Mapa final'!#REF!),"")</f>
        <v>#REF!</v>
      </c>
      <c r="AG24" s="427"/>
      <c r="AH24" s="416" t="str">
        <f>IF(AND('Mapa final'!$J$27="Media",'Mapa final'!$N$27="Catastrófico"),CONCATENATE("R",'Mapa final'!$C$27),"")</f>
        <v/>
      </c>
      <c r="AI24" s="417"/>
      <c r="AJ24" s="417" t="str">
        <f>IF(AND('Mapa final'!$J$30="Media",'Mapa final'!$N$30="Catastrófico"),CONCATENATE("R",'Mapa final'!$C$30),"")</f>
        <v>R5</v>
      </c>
      <c r="AK24" s="417"/>
      <c r="AL24" s="417" t="e">
        <f>IF(AND('Mapa final'!#REF!="Media",'Mapa final'!#REF!="Catastrófico"),CONCATENATE("R",'Mapa final'!#REF!),"")</f>
        <v>#REF!</v>
      </c>
      <c r="AM24" s="418"/>
      <c r="AN24" s="76"/>
      <c r="AO24" s="468"/>
      <c r="AP24" s="469"/>
      <c r="AQ24" s="469"/>
      <c r="AR24" s="469"/>
      <c r="AS24" s="469"/>
      <c r="AT24" s="470"/>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row>
    <row r="25" spans="1:80" x14ac:dyDescent="0.25">
      <c r="A25" s="76"/>
      <c r="B25" s="445"/>
      <c r="C25" s="445"/>
      <c r="D25" s="446"/>
      <c r="E25" s="438"/>
      <c r="F25" s="439"/>
      <c r="G25" s="439"/>
      <c r="H25" s="439"/>
      <c r="I25" s="440"/>
      <c r="J25" s="407"/>
      <c r="K25" s="408"/>
      <c r="L25" s="408"/>
      <c r="M25" s="408"/>
      <c r="N25" s="408"/>
      <c r="O25" s="409"/>
      <c r="P25" s="407"/>
      <c r="Q25" s="408"/>
      <c r="R25" s="408"/>
      <c r="S25" s="408"/>
      <c r="T25" s="408"/>
      <c r="U25" s="409"/>
      <c r="V25" s="407"/>
      <c r="W25" s="408"/>
      <c r="X25" s="408"/>
      <c r="Y25" s="408"/>
      <c r="Z25" s="408"/>
      <c r="AA25" s="409"/>
      <c r="AB25" s="425"/>
      <c r="AC25" s="426"/>
      <c r="AD25" s="426"/>
      <c r="AE25" s="426"/>
      <c r="AF25" s="426"/>
      <c r="AG25" s="427"/>
      <c r="AH25" s="416"/>
      <c r="AI25" s="417"/>
      <c r="AJ25" s="417"/>
      <c r="AK25" s="417"/>
      <c r="AL25" s="417"/>
      <c r="AM25" s="418"/>
      <c r="AN25" s="76"/>
      <c r="AO25" s="468"/>
      <c r="AP25" s="469"/>
      <c r="AQ25" s="469"/>
      <c r="AR25" s="469"/>
      <c r="AS25" s="469"/>
      <c r="AT25" s="470"/>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row>
    <row r="26" spans="1:80" x14ac:dyDescent="0.25">
      <c r="A26" s="76"/>
      <c r="B26" s="445"/>
      <c r="C26" s="445"/>
      <c r="D26" s="446"/>
      <c r="E26" s="438"/>
      <c r="F26" s="439"/>
      <c r="G26" s="439"/>
      <c r="H26" s="439"/>
      <c r="I26" s="440"/>
      <c r="J26" s="407" t="e">
        <f>IF(AND('Mapa final'!#REF!="Media",'Mapa final'!#REF!="Leve"),CONCATENATE("R",'Mapa final'!#REF!),"")</f>
        <v>#REF!</v>
      </c>
      <c r="K26" s="408"/>
      <c r="L26" s="408" t="e">
        <f>IF(AND('Mapa final'!#REF!="Media",'Mapa final'!#REF!="Leve"),CONCATENATE("R",'Mapa final'!#REF!),"")</f>
        <v>#REF!</v>
      </c>
      <c r="M26" s="408"/>
      <c r="N26" s="408" t="e">
        <f>IF(AND('Mapa final'!#REF!="Media",'Mapa final'!#REF!="Leve"),CONCATENATE("R",'Mapa final'!#REF!),"")</f>
        <v>#REF!</v>
      </c>
      <c r="O26" s="409"/>
      <c r="P26" s="407" t="e">
        <f>IF(AND('Mapa final'!#REF!="Media",'Mapa final'!#REF!="Menor"),CONCATENATE("R",'Mapa final'!#REF!),"")</f>
        <v>#REF!</v>
      </c>
      <c r="Q26" s="408"/>
      <c r="R26" s="408" t="e">
        <f>IF(AND('Mapa final'!#REF!="Media",'Mapa final'!#REF!="Menor"),CONCATENATE("R",'Mapa final'!#REF!),"")</f>
        <v>#REF!</v>
      </c>
      <c r="S26" s="408"/>
      <c r="T26" s="408" t="e">
        <f>IF(AND('Mapa final'!#REF!="Media",'Mapa final'!#REF!="Menor"),CONCATENATE("R",'Mapa final'!#REF!),"")</f>
        <v>#REF!</v>
      </c>
      <c r="U26" s="409"/>
      <c r="V26" s="407" t="e">
        <f>IF(AND('Mapa final'!#REF!="Media",'Mapa final'!#REF!="Moderado"),CONCATENATE("R",'Mapa final'!#REF!),"")</f>
        <v>#REF!</v>
      </c>
      <c r="W26" s="408"/>
      <c r="X26" s="408" t="e">
        <f>IF(AND('Mapa final'!#REF!="Media",'Mapa final'!#REF!="Moderado"),CONCATENATE("R",'Mapa final'!#REF!),"")</f>
        <v>#REF!</v>
      </c>
      <c r="Y26" s="408"/>
      <c r="Z26" s="408" t="e">
        <f>IF(AND('Mapa final'!#REF!="Media",'Mapa final'!#REF!="Moderado"),CONCATENATE("R",'Mapa final'!#REF!),"")</f>
        <v>#REF!</v>
      </c>
      <c r="AA26" s="409"/>
      <c r="AB26" s="425" t="e">
        <f>IF(AND('Mapa final'!#REF!="Media",'Mapa final'!#REF!="Mayor"),CONCATENATE("R",'Mapa final'!#REF!),"")</f>
        <v>#REF!</v>
      </c>
      <c r="AC26" s="426"/>
      <c r="AD26" s="426" t="e">
        <f>IF(AND('Mapa final'!#REF!="Media",'Mapa final'!#REF!="Mayor"),CONCATENATE("R",'Mapa final'!#REF!),"")</f>
        <v>#REF!</v>
      </c>
      <c r="AE26" s="426"/>
      <c r="AF26" s="426" t="e">
        <f>IF(AND('Mapa final'!#REF!="Media",'Mapa final'!#REF!="Mayor"),CONCATENATE("R",'Mapa final'!#REF!),"")</f>
        <v>#REF!</v>
      </c>
      <c r="AG26" s="427"/>
      <c r="AH26" s="416" t="e">
        <f>IF(AND('Mapa final'!#REF!="Media",'Mapa final'!#REF!="Catastrófico"),CONCATENATE("R",'Mapa final'!#REF!),"")</f>
        <v>#REF!</v>
      </c>
      <c r="AI26" s="417"/>
      <c r="AJ26" s="417" t="e">
        <f>IF(AND('Mapa final'!#REF!="Media",'Mapa final'!#REF!="Catastrófico"),CONCATENATE("R",'Mapa final'!#REF!),"")</f>
        <v>#REF!</v>
      </c>
      <c r="AK26" s="417"/>
      <c r="AL26" s="417" t="e">
        <f>IF(AND('Mapa final'!#REF!="Media",'Mapa final'!#REF!="Catastrófico"),CONCATENATE("R",'Mapa final'!#REF!),"")</f>
        <v>#REF!</v>
      </c>
      <c r="AM26" s="418"/>
      <c r="AN26" s="76"/>
      <c r="AO26" s="468"/>
      <c r="AP26" s="469"/>
      <c r="AQ26" s="469"/>
      <c r="AR26" s="469"/>
      <c r="AS26" s="469"/>
      <c r="AT26" s="470"/>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row>
    <row r="27" spans="1:80" x14ac:dyDescent="0.25">
      <c r="A27" s="76"/>
      <c r="B27" s="445"/>
      <c r="C27" s="445"/>
      <c r="D27" s="446"/>
      <c r="E27" s="438"/>
      <c r="F27" s="439"/>
      <c r="G27" s="439"/>
      <c r="H27" s="439"/>
      <c r="I27" s="440"/>
      <c r="J27" s="407"/>
      <c r="K27" s="408"/>
      <c r="L27" s="408"/>
      <c r="M27" s="408"/>
      <c r="N27" s="408"/>
      <c r="O27" s="409"/>
      <c r="P27" s="407"/>
      <c r="Q27" s="408"/>
      <c r="R27" s="408"/>
      <c r="S27" s="408"/>
      <c r="T27" s="408"/>
      <c r="U27" s="409"/>
      <c r="V27" s="407"/>
      <c r="W27" s="408"/>
      <c r="X27" s="408"/>
      <c r="Y27" s="408"/>
      <c r="Z27" s="408"/>
      <c r="AA27" s="409"/>
      <c r="AB27" s="425"/>
      <c r="AC27" s="426"/>
      <c r="AD27" s="426"/>
      <c r="AE27" s="426"/>
      <c r="AF27" s="426"/>
      <c r="AG27" s="427"/>
      <c r="AH27" s="416"/>
      <c r="AI27" s="417"/>
      <c r="AJ27" s="417"/>
      <c r="AK27" s="417"/>
      <c r="AL27" s="417"/>
      <c r="AM27" s="418"/>
      <c r="AN27" s="76"/>
      <c r="AO27" s="468"/>
      <c r="AP27" s="469"/>
      <c r="AQ27" s="469"/>
      <c r="AR27" s="469"/>
      <c r="AS27" s="469"/>
      <c r="AT27" s="470"/>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row>
    <row r="28" spans="1:80" x14ac:dyDescent="0.25">
      <c r="A28" s="76"/>
      <c r="B28" s="445"/>
      <c r="C28" s="445"/>
      <c r="D28" s="446"/>
      <c r="E28" s="438"/>
      <c r="F28" s="439"/>
      <c r="G28" s="439"/>
      <c r="H28" s="439"/>
      <c r="I28" s="440"/>
      <c r="J28" s="407" t="e">
        <f>IF(AND('Mapa final'!#REF!="Media",'Mapa final'!#REF!="Leve"),CONCATENATE("R",'Mapa final'!#REF!),"")</f>
        <v>#REF!</v>
      </c>
      <c r="K28" s="408"/>
      <c r="L28" s="408" t="e">
        <f>IF(AND('Mapa final'!#REF!="Media",'Mapa final'!#REF!="Leve"),CONCATENATE("R",'Mapa final'!#REF!),"")</f>
        <v>#REF!</v>
      </c>
      <c r="M28" s="408"/>
      <c r="N28" s="408" t="str">
        <f>IF(AND('Mapa final'!$J$45="Media",'Mapa final'!$N$45="Leve"),CONCATENATE("R",'Mapa final'!$C$45),"")</f>
        <v/>
      </c>
      <c r="O28" s="409"/>
      <c r="P28" s="407" t="e">
        <f>IF(AND('Mapa final'!#REF!="Media",'Mapa final'!#REF!="Menor"),CONCATENATE("R",'Mapa final'!#REF!),"")</f>
        <v>#REF!</v>
      </c>
      <c r="Q28" s="408"/>
      <c r="R28" s="408" t="e">
        <f>IF(AND('Mapa final'!#REF!="Media",'Mapa final'!#REF!="Menor"),CONCATENATE("R",'Mapa final'!#REF!),"")</f>
        <v>#REF!</v>
      </c>
      <c r="S28" s="408"/>
      <c r="T28" s="408" t="str">
        <f>IF(AND('Mapa final'!$J$45="Media",'Mapa final'!$N$45="Menor"),CONCATENATE("R",'Mapa final'!$C$45),"")</f>
        <v/>
      </c>
      <c r="U28" s="409"/>
      <c r="V28" s="407" t="e">
        <f>IF(AND('Mapa final'!#REF!="Media",'Mapa final'!#REF!="Moderado"),CONCATENATE("R",'Mapa final'!#REF!),"")</f>
        <v>#REF!</v>
      </c>
      <c r="W28" s="408"/>
      <c r="X28" s="408" t="e">
        <f>IF(AND('Mapa final'!#REF!="Media",'Mapa final'!#REF!="Moderado"),CONCATENATE("R",'Mapa final'!#REF!),"")</f>
        <v>#REF!</v>
      </c>
      <c r="Y28" s="408"/>
      <c r="Z28" s="408" t="str">
        <f>IF(AND('Mapa final'!$J$45="Media",'Mapa final'!$N$45="Moderado"),CONCATENATE("R",'Mapa final'!$C$45),"")</f>
        <v/>
      </c>
      <c r="AA28" s="409"/>
      <c r="AB28" s="425" t="e">
        <f>IF(AND('Mapa final'!#REF!="Media",'Mapa final'!#REF!="Mayor"),CONCATENATE("R",'Mapa final'!#REF!),"")</f>
        <v>#REF!</v>
      </c>
      <c r="AC28" s="426"/>
      <c r="AD28" s="426" t="e">
        <f>IF(AND('Mapa final'!#REF!="Media",'Mapa final'!#REF!="Mayor"),CONCATENATE("R",'Mapa final'!#REF!),"")</f>
        <v>#REF!</v>
      </c>
      <c r="AE28" s="426"/>
      <c r="AF28" s="426" t="str">
        <f>IF(AND('Mapa final'!$J$45="Media",'Mapa final'!$N$45="Mayor"),CONCATENATE("R",'Mapa final'!$C$45),"")</f>
        <v/>
      </c>
      <c r="AG28" s="427"/>
      <c r="AH28" s="416" t="e">
        <f>IF(AND('Mapa final'!#REF!="Media",'Mapa final'!#REF!="Catastrófico"),CONCATENATE("R",'Mapa final'!#REF!),"")</f>
        <v>#REF!</v>
      </c>
      <c r="AI28" s="417"/>
      <c r="AJ28" s="417" t="e">
        <f>IF(AND('Mapa final'!#REF!="Media",'Mapa final'!#REF!="Catastrófico"),CONCATENATE("R",'Mapa final'!#REF!),"")</f>
        <v>#REF!</v>
      </c>
      <c r="AK28" s="417"/>
      <c r="AL28" s="417" t="str">
        <f>IF(AND('Mapa final'!$J$45="Media",'Mapa final'!$N$45="Catastrófico"),CONCATENATE("R",'Mapa final'!$C$45),"")</f>
        <v/>
      </c>
      <c r="AM28" s="418"/>
      <c r="AN28" s="76"/>
      <c r="AO28" s="468"/>
      <c r="AP28" s="469"/>
      <c r="AQ28" s="469"/>
      <c r="AR28" s="469"/>
      <c r="AS28" s="469"/>
      <c r="AT28" s="470"/>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row>
    <row r="29" spans="1:80" ht="15.75" thickBot="1" x14ac:dyDescent="0.3">
      <c r="A29" s="76"/>
      <c r="B29" s="445"/>
      <c r="C29" s="445"/>
      <c r="D29" s="446"/>
      <c r="E29" s="441"/>
      <c r="F29" s="442"/>
      <c r="G29" s="442"/>
      <c r="H29" s="442"/>
      <c r="I29" s="443"/>
      <c r="J29" s="407"/>
      <c r="K29" s="408"/>
      <c r="L29" s="408"/>
      <c r="M29" s="408"/>
      <c r="N29" s="408"/>
      <c r="O29" s="409"/>
      <c r="P29" s="410"/>
      <c r="Q29" s="411"/>
      <c r="R29" s="411"/>
      <c r="S29" s="411"/>
      <c r="T29" s="411"/>
      <c r="U29" s="412"/>
      <c r="V29" s="410"/>
      <c r="W29" s="411"/>
      <c r="X29" s="411"/>
      <c r="Y29" s="411"/>
      <c r="Z29" s="411"/>
      <c r="AA29" s="412"/>
      <c r="AB29" s="428"/>
      <c r="AC29" s="429"/>
      <c r="AD29" s="429"/>
      <c r="AE29" s="429"/>
      <c r="AF29" s="429"/>
      <c r="AG29" s="430"/>
      <c r="AH29" s="419"/>
      <c r="AI29" s="420"/>
      <c r="AJ29" s="420"/>
      <c r="AK29" s="420"/>
      <c r="AL29" s="420"/>
      <c r="AM29" s="421"/>
      <c r="AN29" s="76"/>
      <c r="AO29" s="471"/>
      <c r="AP29" s="472"/>
      <c r="AQ29" s="472"/>
      <c r="AR29" s="472"/>
      <c r="AS29" s="472"/>
      <c r="AT29" s="473"/>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row>
    <row r="30" spans="1:80" x14ac:dyDescent="0.25">
      <c r="A30" s="76"/>
      <c r="B30" s="445"/>
      <c r="C30" s="445"/>
      <c r="D30" s="446"/>
      <c r="E30" s="435" t="s">
        <v>114</v>
      </c>
      <c r="F30" s="436"/>
      <c r="G30" s="436"/>
      <c r="H30" s="436"/>
      <c r="I30" s="436"/>
      <c r="J30" s="404" t="str">
        <f>IF(AND('Mapa final'!$J$20="Baja",'Mapa final'!$N$20="Leve"),CONCATENATE("R",'Mapa final'!$C$20),"")</f>
        <v/>
      </c>
      <c r="K30" s="405"/>
      <c r="L30" s="405" t="str">
        <f>IF(AND('Mapa final'!$J$23="Baja",'Mapa final'!$N$23="Leve"),CONCATENATE("R",'Mapa final'!$C$23),"")</f>
        <v/>
      </c>
      <c r="M30" s="405"/>
      <c r="N30" s="405" t="str">
        <f>IF(AND('Mapa final'!$J$24="Baja",'Mapa final'!$N$24="Leve"),CONCATENATE("R",'Mapa final'!$C$24),"")</f>
        <v/>
      </c>
      <c r="O30" s="406"/>
      <c r="P30" s="414" t="str">
        <f>IF(AND('Mapa final'!$J$20="Baja",'Mapa final'!$N$20="Menor"),CONCATENATE("R",'Mapa final'!$C$20),"")</f>
        <v/>
      </c>
      <c r="Q30" s="414"/>
      <c r="R30" s="414" t="str">
        <f>IF(AND('Mapa final'!$J$23="Baja",'Mapa final'!$N$23="Menor"),CONCATENATE("R",'Mapa final'!$C$23),"")</f>
        <v/>
      </c>
      <c r="S30" s="414"/>
      <c r="T30" s="414" t="str">
        <f>IF(AND('Mapa final'!$J$24="Baja",'Mapa final'!$N$24="Menor"),CONCATENATE("R",'Mapa final'!$C$24),"")</f>
        <v/>
      </c>
      <c r="U30" s="415"/>
      <c r="V30" s="413" t="str">
        <f>IF(AND('Mapa final'!$J$20="Baja",'Mapa final'!$N$20="Moderado"),CONCATENATE("R",'Mapa final'!$C$20),"")</f>
        <v/>
      </c>
      <c r="W30" s="414"/>
      <c r="X30" s="414" t="str">
        <f>IF(AND('Mapa final'!$J$23="Baja",'Mapa final'!$N$23="Moderado"),CONCATENATE("R",'Mapa final'!$C$23),"")</f>
        <v/>
      </c>
      <c r="Y30" s="414"/>
      <c r="Z30" s="414" t="str">
        <f>IF(AND('Mapa final'!$J$24="Baja",'Mapa final'!$N$24="Moderado"),CONCATENATE("R",'Mapa final'!$C$24),"")</f>
        <v/>
      </c>
      <c r="AA30" s="415"/>
      <c r="AB30" s="431" t="str">
        <f>IF(AND('Mapa final'!$J$20="Baja",'Mapa final'!$N$20="Mayor"),CONCATENATE("R",'Mapa final'!$C$20),"")</f>
        <v/>
      </c>
      <c r="AC30" s="432"/>
      <c r="AD30" s="432" t="str">
        <f>IF(AND('Mapa final'!$J$23="Baja",'Mapa final'!$N$23="Mayor"),CONCATENATE("R",'Mapa final'!$C$23),"")</f>
        <v/>
      </c>
      <c r="AE30" s="432"/>
      <c r="AF30" s="432" t="str">
        <f>IF(AND('Mapa final'!$J$24="Baja",'Mapa final'!$N$24="Mayor"),CONCATENATE("R",'Mapa final'!$C$24),"")</f>
        <v/>
      </c>
      <c r="AG30" s="433"/>
      <c r="AH30" s="422" t="str">
        <f>IF(AND('Mapa final'!$J$20="Baja",'Mapa final'!$N$20="Catastrófico"),CONCATENATE("R",'Mapa final'!$C$20),"")</f>
        <v/>
      </c>
      <c r="AI30" s="423"/>
      <c r="AJ30" s="423" t="str">
        <f>IF(AND('Mapa final'!$J$23="Baja",'Mapa final'!$N$23="Catastrófico"),CONCATENATE("R",'Mapa final'!$C$23),"")</f>
        <v/>
      </c>
      <c r="AK30" s="423"/>
      <c r="AL30" s="423" t="str">
        <f>IF(AND('Mapa final'!$J$24="Baja",'Mapa final'!$N$24="Catastrófico"),CONCATENATE("R",'Mapa final'!$C$24),"")</f>
        <v/>
      </c>
      <c r="AM30" s="424"/>
      <c r="AN30" s="76"/>
      <c r="AO30" s="474" t="s">
        <v>82</v>
      </c>
      <c r="AP30" s="475"/>
      <c r="AQ30" s="475"/>
      <c r="AR30" s="475"/>
      <c r="AS30" s="475"/>
      <c r="AT30" s="4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row>
    <row r="31" spans="1:80" x14ac:dyDescent="0.25">
      <c r="A31" s="76"/>
      <c r="B31" s="445"/>
      <c r="C31" s="445"/>
      <c r="D31" s="446"/>
      <c r="E31" s="438"/>
      <c r="F31" s="439"/>
      <c r="G31" s="439"/>
      <c r="H31" s="439"/>
      <c r="I31" s="439"/>
      <c r="J31" s="398"/>
      <c r="K31" s="399"/>
      <c r="L31" s="399"/>
      <c r="M31" s="399"/>
      <c r="N31" s="399"/>
      <c r="O31" s="400"/>
      <c r="P31" s="408"/>
      <c r="Q31" s="408"/>
      <c r="R31" s="408"/>
      <c r="S31" s="408"/>
      <c r="T31" s="408"/>
      <c r="U31" s="409"/>
      <c r="V31" s="407"/>
      <c r="W31" s="408"/>
      <c r="X31" s="408"/>
      <c r="Y31" s="408"/>
      <c r="Z31" s="408"/>
      <c r="AA31" s="409"/>
      <c r="AB31" s="425"/>
      <c r="AC31" s="426"/>
      <c r="AD31" s="426"/>
      <c r="AE31" s="426"/>
      <c r="AF31" s="426"/>
      <c r="AG31" s="427"/>
      <c r="AH31" s="416"/>
      <c r="AI31" s="417"/>
      <c r="AJ31" s="417"/>
      <c r="AK31" s="417"/>
      <c r="AL31" s="417"/>
      <c r="AM31" s="418"/>
      <c r="AN31" s="76"/>
      <c r="AO31" s="477"/>
      <c r="AP31" s="478"/>
      <c r="AQ31" s="478"/>
      <c r="AR31" s="478"/>
      <c r="AS31" s="478"/>
      <c r="AT31" s="479"/>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row>
    <row r="32" spans="1:80" x14ac:dyDescent="0.25">
      <c r="A32" s="76"/>
      <c r="B32" s="445"/>
      <c r="C32" s="445"/>
      <c r="D32" s="446"/>
      <c r="E32" s="438"/>
      <c r="F32" s="439"/>
      <c r="G32" s="439"/>
      <c r="H32" s="439"/>
      <c r="I32" s="439"/>
      <c r="J32" s="398" t="str">
        <f>IF(AND('Mapa final'!$J$27="Baja",'Mapa final'!$N$27="Leve"),CONCATENATE("R",'Mapa final'!$C$27),"")</f>
        <v/>
      </c>
      <c r="K32" s="399"/>
      <c r="L32" s="399" t="str">
        <f>IF(AND('Mapa final'!$J$30="Baja",'Mapa final'!$N$30="Leve"),CONCATENATE("R",'Mapa final'!$C$30),"")</f>
        <v/>
      </c>
      <c r="M32" s="399"/>
      <c r="N32" s="399" t="e">
        <f>IF(AND('Mapa final'!#REF!="Baja",'Mapa final'!#REF!="Leve"),CONCATENATE("R",'Mapa final'!#REF!),"")</f>
        <v>#REF!</v>
      </c>
      <c r="O32" s="400"/>
      <c r="P32" s="408" t="str">
        <f>IF(AND('Mapa final'!$J$27="Baja",'Mapa final'!$N$27="Menor"),CONCATENATE("R",'Mapa final'!$C$27),"")</f>
        <v/>
      </c>
      <c r="Q32" s="408"/>
      <c r="R32" s="408" t="str">
        <f>IF(AND('Mapa final'!$J$30="Baja",'Mapa final'!$N$30="Menor"),CONCATENATE("R",'Mapa final'!$C$30),"")</f>
        <v/>
      </c>
      <c r="S32" s="408"/>
      <c r="T32" s="408" t="e">
        <f>IF(AND('Mapa final'!#REF!="Baja",'Mapa final'!#REF!="Menor"),CONCATENATE("R",'Mapa final'!#REF!),"")</f>
        <v>#REF!</v>
      </c>
      <c r="U32" s="409"/>
      <c r="V32" s="407" t="str">
        <f>IF(AND('Mapa final'!$J$27="Baja",'Mapa final'!$N$27="Moderado"),CONCATENATE("R",'Mapa final'!$C$27),"")</f>
        <v/>
      </c>
      <c r="W32" s="408"/>
      <c r="X32" s="408" t="str">
        <f>IF(AND('Mapa final'!$J$30="Baja",'Mapa final'!$N$30="Moderado"),CONCATENATE("R",'Mapa final'!$C$30),"")</f>
        <v/>
      </c>
      <c r="Y32" s="408"/>
      <c r="Z32" s="408" t="e">
        <f>IF(AND('Mapa final'!#REF!="Baja",'Mapa final'!#REF!="Moderado"),CONCATENATE("R",'Mapa final'!#REF!),"")</f>
        <v>#REF!</v>
      </c>
      <c r="AA32" s="409"/>
      <c r="AB32" s="425" t="str">
        <f>IF(AND('Mapa final'!$J$27="Baja",'Mapa final'!$N$27="Mayor"),CONCATENATE("R",'Mapa final'!$C$27),"")</f>
        <v/>
      </c>
      <c r="AC32" s="426"/>
      <c r="AD32" s="426" t="str">
        <f>IF(AND('Mapa final'!$J$30="Baja",'Mapa final'!$N$30="Mayor"),CONCATENATE("R",'Mapa final'!$C$30),"")</f>
        <v/>
      </c>
      <c r="AE32" s="426"/>
      <c r="AF32" s="426" t="e">
        <f>IF(AND('Mapa final'!#REF!="Baja",'Mapa final'!#REF!="Mayor"),CONCATENATE("R",'Mapa final'!#REF!),"")</f>
        <v>#REF!</v>
      </c>
      <c r="AG32" s="427"/>
      <c r="AH32" s="416" t="str">
        <f>IF(AND('Mapa final'!$J$27="Baja",'Mapa final'!$N$27="Catastrófico"),CONCATENATE("R",'Mapa final'!$C$27),"")</f>
        <v/>
      </c>
      <c r="AI32" s="417"/>
      <c r="AJ32" s="417" t="str">
        <f>IF(AND('Mapa final'!$J$30="Baja",'Mapa final'!$N$30="Catastrófico"),CONCATENATE("R",'Mapa final'!$C$30),"")</f>
        <v/>
      </c>
      <c r="AK32" s="417"/>
      <c r="AL32" s="417" t="e">
        <f>IF(AND('Mapa final'!#REF!="Baja",'Mapa final'!#REF!="Catastrófico"),CONCATENATE("R",'Mapa final'!#REF!),"")</f>
        <v>#REF!</v>
      </c>
      <c r="AM32" s="418"/>
      <c r="AN32" s="76"/>
      <c r="AO32" s="477"/>
      <c r="AP32" s="478"/>
      <c r="AQ32" s="478"/>
      <c r="AR32" s="478"/>
      <c r="AS32" s="478"/>
      <c r="AT32" s="479"/>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row>
    <row r="33" spans="1:80" x14ac:dyDescent="0.25">
      <c r="A33" s="76"/>
      <c r="B33" s="445"/>
      <c r="C33" s="445"/>
      <c r="D33" s="446"/>
      <c r="E33" s="438"/>
      <c r="F33" s="439"/>
      <c r="G33" s="439"/>
      <c r="H33" s="439"/>
      <c r="I33" s="439"/>
      <c r="J33" s="398"/>
      <c r="K33" s="399"/>
      <c r="L33" s="399"/>
      <c r="M33" s="399"/>
      <c r="N33" s="399"/>
      <c r="O33" s="400"/>
      <c r="P33" s="408"/>
      <c r="Q33" s="408"/>
      <c r="R33" s="408"/>
      <c r="S33" s="408"/>
      <c r="T33" s="408"/>
      <c r="U33" s="409"/>
      <c r="V33" s="407"/>
      <c r="W33" s="408"/>
      <c r="X33" s="408"/>
      <c r="Y33" s="408"/>
      <c r="Z33" s="408"/>
      <c r="AA33" s="409"/>
      <c r="AB33" s="425"/>
      <c r="AC33" s="426"/>
      <c r="AD33" s="426"/>
      <c r="AE33" s="426"/>
      <c r="AF33" s="426"/>
      <c r="AG33" s="427"/>
      <c r="AH33" s="416"/>
      <c r="AI33" s="417"/>
      <c r="AJ33" s="417"/>
      <c r="AK33" s="417"/>
      <c r="AL33" s="417"/>
      <c r="AM33" s="418"/>
      <c r="AN33" s="76"/>
      <c r="AO33" s="477"/>
      <c r="AP33" s="478"/>
      <c r="AQ33" s="478"/>
      <c r="AR33" s="478"/>
      <c r="AS33" s="478"/>
      <c r="AT33" s="479"/>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row>
    <row r="34" spans="1:80" x14ac:dyDescent="0.25">
      <c r="A34" s="76"/>
      <c r="B34" s="445"/>
      <c r="C34" s="445"/>
      <c r="D34" s="446"/>
      <c r="E34" s="438"/>
      <c r="F34" s="439"/>
      <c r="G34" s="439"/>
      <c r="H34" s="439"/>
      <c r="I34" s="439"/>
      <c r="J34" s="398" t="e">
        <f>IF(AND('Mapa final'!#REF!="Baja",'Mapa final'!#REF!="Leve"),CONCATENATE("R",'Mapa final'!#REF!),"")</f>
        <v>#REF!</v>
      </c>
      <c r="K34" s="399"/>
      <c r="L34" s="399" t="e">
        <f>IF(AND('Mapa final'!#REF!="Baja",'Mapa final'!#REF!="Leve"),CONCATENATE("R",'Mapa final'!#REF!),"")</f>
        <v>#REF!</v>
      </c>
      <c r="M34" s="399"/>
      <c r="N34" s="399" t="e">
        <f>IF(AND('Mapa final'!#REF!="Baja",'Mapa final'!#REF!="Leve"),CONCATENATE("R",'Mapa final'!#REF!),"")</f>
        <v>#REF!</v>
      </c>
      <c r="O34" s="400"/>
      <c r="P34" s="408" t="e">
        <f>IF(AND('Mapa final'!#REF!="Baja",'Mapa final'!#REF!="Menor"),CONCATENATE("R",'Mapa final'!#REF!),"")</f>
        <v>#REF!</v>
      </c>
      <c r="Q34" s="408"/>
      <c r="R34" s="408" t="e">
        <f>IF(AND('Mapa final'!#REF!="Baja",'Mapa final'!#REF!="Menor"),CONCATENATE("R",'Mapa final'!#REF!),"")</f>
        <v>#REF!</v>
      </c>
      <c r="S34" s="408"/>
      <c r="T34" s="408" t="e">
        <f>IF(AND('Mapa final'!#REF!="Baja",'Mapa final'!#REF!="Menor"),CONCATENATE("R",'Mapa final'!#REF!),"")</f>
        <v>#REF!</v>
      </c>
      <c r="U34" s="409"/>
      <c r="V34" s="407" t="e">
        <f>IF(AND('Mapa final'!#REF!="Baja",'Mapa final'!#REF!="Moderado"),CONCATENATE("R",'Mapa final'!#REF!),"")</f>
        <v>#REF!</v>
      </c>
      <c r="W34" s="408"/>
      <c r="X34" s="408" t="e">
        <f>IF(AND('Mapa final'!#REF!="Baja",'Mapa final'!#REF!="Moderado"),CONCATENATE("R",'Mapa final'!#REF!),"")</f>
        <v>#REF!</v>
      </c>
      <c r="Y34" s="408"/>
      <c r="Z34" s="408" t="e">
        <f>IF(AND('Mapa final'!#REF!="Baja",'Mapa final'!#REF!="Moderado"),CONCATENATE("R",'Mapa final'!#REF!),"")</f>
        <v>#REF!</v>
      </c>
      <c r="AA34" s="409"/>
      <c r="AB34" s="425" t="e">
        <f>IF(AND('Mapa final'!#REF!="Baja",'Mapa final'!#REF!="Mayor"),CONCATENATE("R",'Mapa final'!#REF!),"")</f>
        <v>#REF!</v>
      </c>
      <c r="AC34" s="426"/>
      <c r="AD34" s="426" t="e">
        <f>IF(AND('Mapa final'!#REF!="Baja",'Mapa final'!#REF!="Mayor"),CONCATENATE("R",'Mapa final'!#REF!),"")</f>
        <v>#REF!</v>
      </c>
      <c r="AE34" s="426"/>
      <c r="AF34" s="426" t="e">
        <f>IF(AND('Mapa final'!#REF!="Baja",'Mapa final'!#REF!="Mayor"),CONCATENATE("R",'Mapa final'!#REF!),"")</f>
        <v>#REF!</v>
      </c>
      <c r="AG34" s="427"/>
      <c r="AH34" s="416" t="e">
        <f>IF(AND('Mapa final'!#REF!="Baja",'Mapa final'!#REF!="Catastrófico"),CONCATENATE("R",'Mapa final'!#REF!),"")</f>
        <v>#REF!</v>
      </c>
      <c r="AI34" s="417"/>
      <c r="AJ34" s="417" t="e">
        <f>IF(AND('Mapa final'!#REF!="Baja",'Mapa final'!#REF!="Catastrófico"),CONCATENATE("R",'Mapa final'!#REF!),"")</f>
        <v>#REF!</v>
      </c>
      <c r="AK34" s="417"/>
      <c r="AL34" s="417" t="e">
        <f>IF(AND('Mapa final'!#REF!="Baja",'Mapa final'!#REF!="Catastrófico"),CONCATENATE("R",'Mapa final'!#REF!),"")</f>
        <v>#REF!</v>
      </c>
      <c r="AM34" s="418"/>
      <c r="AN34" s="76"/>
      <c r="AO34" s="477"/>
      <c r="AP34" s="478"/>
      <c r="AQ34" s="478"/>
      <c r="AR34" s="478"/>
      <c r="AS34" s="478"/>
      <c r="AT34" s="479"/>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row>
    <row r="35" spans="1:80" x14ac:dyDescent="0.25">
      <c r="A35" s="76"/>
      <c r="B35" s="445"/>
      <c r="C35" s="445"/>
      <c r="D35" s="446"/>
      <c r="E35" s="438"/>
      <c r="F35" s="439"/>
      <c r="G35" s="439"/>
      <c r="H35" s="439"/>
      <c r="I35" s="439"/>
      <c r="J35" s="398"/>
      <c r="K35" s="399"/>
      <c r="L35" s="399"/>
      <c r="M35" s="399"/>
      <c r="N35" s="399"/>
      <c r="O35" s="400"/>
      <c r="P35" s="408"/>
      <c r="Q35" s="408"/>
      <c r="R35" s="408"/>
      <c r="S35" s="408"/>
      <c r="T35" s="408"/>
      <c r="U35" s="409"/>
      <c r="V35" s="407"/>
      <c r="W35" s="408"/>
      <c r="X35" s="408"/>
      <c r="Y35" s="408"/>
      <c r="Z35" s="408"/>
      <c r="AA35" s="409"/>
      <c r="AB35" s="425"/>
      <c r="AC35" s="426"/>
      <c r="AD35" s="426"/>
      <c r="AE35" s="426"/>
      <c r="AF35" s="426"/>
      <c r="AG35" s="427"/>
      <c r="AH35" s="416"/>
      <c r="AI35" s="417"/>
      <c r="AJ35" s="417"/>
      <c r="AK35" s="417"/>
      <c r="AL35" s="417"/>
      <c r="AM35" s="418"/>
      <c r="AN35" s="76"/>
      <c r="AO35" s="477"/>
      <c r="AP35" s="478"/>
      <c r="AQ35" s="478"/>
      <c r="AR35" s="478"/>
      <c r="AS35" s="478"/>
      <c r="AT35" s="479"/>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row>
    <row r="36" spans="1:80" x14ac:dyDescent="0.25">
      <c r="A36" s="76"/>
      <c r="B36" s="445"/>
      <c r="C36" s="445"/>
      <c r="D36" s="446"/>
      <c r="E36" s="438"/>
      <c r="F36" s="439"/>
      <c r="G36" s="439"/>
      <c r="H36" s="439"/>
      <c r="I36" s="439"/>
      <c r="J36" s="398" t="e">
        <f>IF(AND('Mapa final'!#REF!="Baja",'Mapa final'!#REF!="Leve"),CONCATENATE("R",'Mapa final'!#REF!),"")</f>
        <v>#REF!</v>
      </c>
      <c r="K36" s="399"/>
      <c r="L36" s="399" t="e">
        <f>IF(AND('Mapa final'!#REF!="Baja",'Mapa final'!#REF!="Leve"),CONCATENATE("R",'Mapa final'!#REF!),"")</f>
        <v>#REF!</v>
      </c>
      <c r="M36" s="399"/>
      <c r="N36" s="399" t="str">
        <f>IF(AND('Mapa final'!$J$45="Baja",'Mapa final'!$N$45="Leve"),CONCATENATE("R",'Mapa final'!$C$45),"")</f>
        <v/>
      </c>
      <c r="O36" s="400"/>
      <c r="P36" s="408" t="e">
        <f>IF(AND('Mapa final'!#REF!="Baja",'Mapa final'!#REF!="Menor"),CONCATENATE("R",'Mapa final'!#REF!),"")</f>
        <v>#REF!</v>
      </c>
      <c r="Q36" s="408"/>
      <c r="R36" s="408" t="e">
        <f>IF(AND('Mapa final'!#REF!="Baja",'Mapa final'!#REF!="Menor"),CONCATENATE("R",'Mapa final'!#REF!),"")</f>
        <v>#REF!</v>
      </c>
      <c r="S36" s="408"/>
      <c r="T36" s="408" t="str">
        <f>IF(AND('Mapa final'!$J$45="Baja",'Mapa final'!$N$45="Menor"),CONCATENATE("R",'Mapa final'!$C$45),"")</f>
        <v/>
      </c>
      <c r="U36" s="409"/>
      <c r="V36" s="407" t="e">
        <f>IF(AND('Mapa final'!#REF!="Baja",'Mapa final'!#REF!="Moderado"),CONCATENATE("R",'Mapa final'!#REF!),"")</f>
        <v>#REF!</v>
      </c>
      <c r="W36" s="408"/>
      <c r="X36" s="408" t="e">
        <f>IF(AND('Mapa final'!#REF!="Baja",'Mapa final'!#REF!="Moderado"),CONCATENATE("R",'Mapa final'!#REF!),"")</f>
        <v>#REF!</v>
      </c>
      <c r="Y36" s="408"/>
      <c r="Z36" s="408" t="str">
        <f>IF(AND('Mapa final'!$J$45="Baja",'Mapa final'!$N$45="Moderado"),CONCATENATE("R",'Mapa final'!$C$45),"")</f>
        <v/>
      </c>
      <c r="AA36" s="409"/>
      <c r="AB36" s="425" t="e">
        <f>IF(AND('Mapa final'!#REF!="Baja",'Mapa final'!#REF!="Mayor"),CONCATENATE("R",'Mapa final'!#REF!),"")</f>
        <v>#REF!</v>
      </c>
      <c r="AC36" s="426"/>
      <c r="AD36" s="426" t="e">
        <f>IF(AND('Mapa final'!#REF!="Baja",'Mapa final'!#REF!="Mayor"),CONCATENATE("R",'Mapa final'!#REF!),"")</f>
        <v>#REF!</v>
      </c>
      <c r="AE36" s="426"/>
      <c r="AF36" s="426" t="str">
        <f>IF(AND('Mapa final'!$J$45="Baja",'Mapa final'!$N$45="Mayor"),CONCATENATE("R",'Mapa final'!$C$45),"")</f>
        <v/>
      </c>
      <c r="AG36" s="427"/>
      <c r="AH36" s="416" t="e">
        <f>IF(AND('Mapa final'!#REF!="Baja",'Mapa final'!#REF!="Catastrófico"),CONCATENATE("R",'Mapa final'!#REF!),"")</f>
        <v>#REF!</v>
      </c>
      <c r="AI36" s="417"/>
      <c r="AJ36" s="417" t="e">
        <f>IF(AND('Mapa final'!#REF!="Baja",'Mapa final'!#REF!="Catastrófico"),CONCATENATE("R",'Mapa final'!#REF!),"")</f>
        <v>#REF!</v>
      </c>
      <c r="AK36" s="417"/>
      <c r="AL36" s="417" t="str">
        <f>IF(AND('Mapa final'!$J$45="Baja",'Mapa final'!$N$45="Catastrófico"),CONCATENATE("R",'Mapa final'!$C$45),"")</f>
        <v/>
      </c>
      <c r="AM36" s="418"/>
      <c r="AN36" s="76"/>
      <c r="AO36" s="477"/>
      <c r="AP36" s="478"/>
      <c r="AQ36" s="478"/>
      <c r="AR36" s="478"/>
      <c r="AS36" s="478"/>
      <c r="AT36" s="479"/>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row>
    <row r="37" spans="1:80" ht="15.75" thickBot="1" x14ac:dyDescent="0.3">
      <c r="A37" s="76"/>
      <c r="B37" s="445"/>
      <c r="C37" s="445"/>
      <c r="D37" s="446"/>
      <c r="E37" s="441"/>
      <c r="F37" s="442"/>
      <c r="G37" s="442"/>
      <c r="H37" s="442"/>
      <c r="I37" s="442"/>
      <c r="J37" s="401"/>
      <c r="K37" s="402"/>
      <c r="L37" s="402"/>
      <c r="M37" s="402"/>
      <c r="N37" s="402"/>
      <c r="O37" s="403"/>
      <c r="P37" s="411"/>
      <c r="Q37" s="411"/>
      <c r="R37" s="411"/>
      <c r="S37" s="411"/>
      <c r="T37" s="411"/>
      <c r="U37" s="412"/>
      <c r="V37" s="410"/>
      <c r="W37" s="411"/>
      <c r="X37" s="411"/>
      <c r="Y37" s="411"/>
      <c r="Z37" s="411"/>
      <c r="AA37" s="412"/>
      <c r="AB37" s="428"/>
      <c r="AC37" s="429"/>
      <c r="AD37" s="429"/>
      <c r="AE37" s="429"/>
      <c r="AF37" s="429"/>
      <c r="AG37" s="430"/>
      <c r="AH37" s="419"/>
      <c r="AI37" s="420"/>
      <c r="AJ37" s="420"/>
      <c r="AK37" s="420"/>
      <c r="AL37" s="420"/>
      <c r="AM37" s="421"/>
      <c r="AN37" s="76"/>
      <c r="AO37" s="480"/>
      <c r="AP37" s="481"/>
      <c r="AQ37" s="481"/>
      <c r="AR37" s="481"/>
      <c r="AS37" s="481"/>
      <c r="AT37" s="482"/>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row>
    <row r="38" spans="1:80" x14ac:dyDescent="0.25">
      <c r="A38" s="76"/>
      <c r="B38" s="445"/>
      <c r="C38" s="445"/>
      <c r="D38" s="446"/>
      <c r="E38" s="435" t="s">
        <v>113</v>
      </c>
      <c r="F38" s="436"/>
      <c r="G38" s="436"/>
      <c r="H38" s="436"/>
      <c r="I38" s="437"/>
      <c r="J38" s="404" t="str">
        <f>IF(AND('Mapa final'!$J$20="Muy Baja",'Mapa final'!$N$20="Leve"),CONCATENATE("R",'Mapa final'!$C$20),"")</f>
        <v/>
      </c>
      <c r="K38" s="405"/>
      <c r="L38" s="405" t="str">
        <f>IF(AND('Mapa final'!$J$23="Muy Baja",'Mapa final'!$N$23="Leve"),CONCATENATE("R",'Mapa final'!$C$23),"")</f>
        <v/>
      </c>
      <c r="M38" s="405"/>
      <c r="N38" s="405" t="str">
        <f>IF(AND('Mapa final'!$J$24="Muy Baja",'Mapa final'!$N$24="Leve"),CONCATENATE("R",'Mapa final'!$C$24),"")</f>
        <v/>
      </c>
      <c r="O38" s="406"/>
      <c r="P38" s="404" t="str">
        <f>IF(AND('Mapa final'!$J$20="Muy Baja",'Mapa final'!$N$20="Menor"),CONCATENATE("R",'Mapa final'!$C$20),"")</f>
        <v/>
      </c>
      <c r="Q38" s="405"/>
      <c r="R38" s="405" t="str">
        <f>IF(AND('Mapa final'!$J$23="Muy Baja",'Mapa final'!$N$23="Menor"),CONCATENATE("R",'Mapa final'!$C$23),"")</f>
        <v/>
      </c>
      <c r="S38" s="405"/>
      <c r="T38" s="405" t="str">
        <f>IF(AND('Mapa final'!$J$24="Muy Baja",'Mapa final'!$N$24="Menor"),CONCATENATE("R",'Mapa final'!$C$24),"")</f>
        <v/>
      </c>
      <c r="U38" s="406"/>
      <c r="V38" s="413" t="str">
        <f>IF(AND('Mapa final'!$J$20="Muy Baja",'Mapa final'!$N$20="Moderado"),CONCATENATE("R",'Mapa final'!$C$20),"")</f>
        <v/>
      </c>
      <c r="W38" s="414"/>
      <c r="X38" s="414" t="str">
        <f>IF(AND('Mapa final'!$J$23="Muy Baja",'Mapa final'!$N$23="Moderado"),CONCATENATE("R",'Mapa final'!$C$23),"")</f>
        <v/>
      </c>
      <c r="Y38" s="414"/>
      <c r="Z38" s="414" t="str">
        <f>IF(AND('Mapa final'!$J$24="Muy Baja",'Mapa final'!$N$24="Moderado"),CONCATENATE("R",'Mapa final'!$C$24),"")</f>
        <v/>
      </c>
      <c r="AA38" s="415"/>
      <c r="AB38" s="431" t="str">
        <f>IF(AND('Mapa final'!$J$20="Muy Baja",'Mapa final'!$N$20="Mayor"),CONCATENATE("R",'Mapa final'!$C$20),"")</f>
        <v/>
      </c>
      <c r="AC38" s="432"/>
      <c r="AD38" s="432" t="str">
        <f>IF(AND('Mapa final'!$J$23="Muy Baja",'Mapa final'!$N$23="Mayor"),CONCATENATE("R",'Mapa final'!$C$23),"")</f>
        <v/>
      </c>
      <c r="AE38" s="432"/>
      <c r="AF38" s="432" t="str">
        <f>IF(AND('Mapa final'!$J$24="Muy Baja",'Mapa final'!$N$24="Mayor"),CONCATENATE("R",'Mapa final'!$C$24),"")</f>
        <v/>
      </c>
      <c r="AG38" s="433"/>
      <c r="AH38" s="422" t="str">
        <f>IF(AND('Mapa final'!$J$20="Muy Baja",'Mapa final'!$N$20="Catastrófico"),CONCATENATE("R",'Mapa final'!$C$20),"")</f>
        <v/>
      </c>
      <c r="AI38" s="423"/>
      <c r="AJ38" s="423" t="str">
        <f>IF(AND('Mapa final'!$J$23="Muy Baja",'Mapa final'!$N$23="Catastrófico"),CONCATENATE("R",'Mapa final'!$C$23),"")</f>
        <v/>
      </c>
      <c r="AK38" s="423"/>
      <c r="AL38" s="423" t="str">
        <f>IF(AND('Mapa final'!$J$24="Muy Baja",'Mapa final'!$N$24="Catastrófico"),CONCATENATE("R",'Mapa final'!$C$24),"")</f>
        <v/>
      </c>
      <c r="AM38" s="424"/>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row>
    <row r="39" spans="1:80" x14ac:dyDescent="0.25">
      <c r="A39" s="76"/>
      <c r="B39" s="445"/>
      <c r="C39" s="445"/>
      <c r="D39" s="446"/>
      <c r="E39" s="438"/>
      <c r="F39" s="439"/>
      <c r="G39" s="439"/>
      <c r="H39" s="439"/>
      <c r="I39" s="440"/>
      <c r="J39" s="398"/>
      <c r="K39" s="399"/>
      <c r="L39" s="399"/>
      <c r="M39" s="399"/>
      <c r="N39" s="399"/>
      <c r="O39" s="400"/>
      <c r="P39" s="398"/>
      <c r="Q39" s="399"/>
      <c r="R39" s="399"/>
      <c r="S39" s="399"/>
      <c r="T39" s="399"/>
      <c r="U39" s="400"/>
      <c r="V39" s="407"/>
      <c r="W39" s="408"/>
      <c r="X39" s="408"/>
      <c r="Y39" s="408"/>
      <c r="Z39" s="408"/>
      <c r="AA39" s="409"/>
      <c r="AB39" s="425"/>
      <c r="AC39" s="426"/>
      <c r="AD39" s="426"/>
      <c r="AE39" s="426"/>
      <c r="AF39" s="426"/>
      <c r="AG39" s="427"/>
      <c r="AH39" s="416"/>
      <c r="AI39" s="417"/>
      <c r="AJ39" s="417"/>
      <c r="AK39" s="417"/>
      <c r="AL39" s="417"/>
      <c r="AM39" s="418"/>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row>
    <row r="40" spans="1:80" x14ac:dyDescent="0.25">
      <c r="A40" s="76"/>
      <c r="B40" s="445"/>
      <c r="C40" s="445"/>
      <c r="D40" s="446"/>
      <c r="E40" s="438"/>
      <c r="F40" s="439"/>
      <c r="G40" s="439"/>
      <c r="H40" s="439"/>
      <c r="I40" s="440"/>
      <c r="J40" s="398" t="str">
        <f>IF(AND('Mapa final'!$J$27="Muy Baja",'Mapa final'!$N$27="Leve"),CONCATENATE("R",'Mapa final'!$C$27),"")</f>
        <v/>
      </c>
      <c r="K40" s="399"/>
      <c r="L40" s="399" t="str">
        <f>IF(AND('Mapa final'!$J$30="Muy Baja",'Mapa final'!$N$30="Leve"),CONCATENATE("R",'Mapa final'!$C$30),"")</f>
        <v/>
      </c>
      <c r="M40" s="399"/>
      <c r="N40" s="399" t="e">
        <f>IF(AND('Mapa final'!#REF!="Muy Baja",'Mapa final'!#REF!="Leve"),CONCATENATE("R",'Mapa final'!#REF!),"")</f>
        <v>#REF!</v>
      </c>
      <c r="O40" s="400"/>
      <c r="P40" s="398" t="str">
        <f>IF(AND('Mapa final'!$J$27="Muy Baja",'Mapa final'!$N$27="Menor"),CONCATENATE("R",'Mapa final'!$C$27),"")</f>
        <v/>
      </c>
      <c r="Q40" s="399"/>
      <c r="R40" s="399" t="str">
        <f>IF(AND('Mapa final'!$J$30="Muy Baja",'Mapa final'!$N$30="Menor"),CONCATENATE("R",'Mapa final'!$C$30),"")</f>
        <v/>
      </c>
      <c r="S40" s="399"/>
      <c r="T40" s="399" t="e">
        <f>IF(AND('Mapa final'!#REF!="Muy Baja",'Mapa final'!#REF!="Menor"),CONCATENATE("R",'Mapa final'!#REF!),"")</f>
        <v>#REF!</v>
      </c>
      <c r="U40" s="400"/>
      <c r="V40" s="407" t="str">
        <f>IF(AND('Mapa final'!$J$27="Muy Baja",'Mapa final'!$N$27="Moderado"),CONCATENATE("R",'Mapa final'!$C$27),"")</f>
        <v/>
      </c>
      <c r="W40" s="408"/>
      <c r="X40" s="408" t="str">
        <f>IF(AND('Mapa final'!$J$30="Muy Baja",'Mapa final'!$N$30="Moderado"),CONCATENATE("R",'Mapa final'!$C$30),"")</f>
        <v/>
      </c>
      <c r="Y40" s="408"/>
      <c r="Z40" s="408" t="e">
        <f>IF(AND('Mapa final'!#REF!="Muy Baja",'Mapa final'!#REF!="Moderado"),CONCATENATE("R",'Mapa final'!#REF!),"")</f>
        <v>#REF!</v>
      </c>
      <c r="AA40" s="409"/>
      <c r="AB40" s="425" t="str">
        <f>IF(AND('Mapa final'!$J$27="Muy Baja",'Mapa final'!$N$27="Mayor"),CONCATENATE("R",'Mapa final'!$C$27),"")</f>
        <v/>
      </c>
      <c r="AC40" s="426"/>
      <c r="AD40" s="426" t="str">
        <f>IF(AND('Mapa final'!$J$30="Muy Baja",'Mapa final'!$N$30="Mayor"),CONCATENATE("R",'Mapa final'!$C$30),"")</f>
        <v/>
      </c>
      <c r="AE40" s="426"/>
      <c r="AF40" s="426" t="e">
        <f>IF(AND('Mapa final'!#REF!="Muy Baja",'Mapa final'!#REF!="Mayor"),CONCATENATE("R",'Mapa final'!#REF!),"")</f>
        <v>#REF!</v>
      </c>
      <c r="AG40" s="427"/>
      <c r="AH40" s="416" t="str">
        <f>IF(AND('Mapa final'!$J$27="Muy Baja",'Mapa final'!$N$27="Catastrófico"),CONCATENATE("R",'Mapa final'!$C$27),"")</f>
        <v/>
      </c>
      <c r="AI40" s="417"/>
      <c r="AJ40" s="417" t="str">
        <f>IF(AND('Mapa final'!$J$30="Muy Baja",'Mapa final'!$N$30="Catastrófico"),CONCATENATE("R",'Mapa final'!$C$30),"")</f>
        <v/>
      </c>
      <c r="AK40" s="417"/>
      <c r="AL40" s="417" t="e">
        <f>IF(AND('Mapa final'!#REF!="Muy Baja",'Mapa final'!#REF!="Catastrófico"),CONCATENATE("R",'Mapa final'!#REF!),"")</f>
        <v>#REF!</v>
      </c>
      <c r="AM40" s="418"/>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row>
    <row r="41" spans="1:80" x14ac:dyDescent="0.25">
      <c r="A41" s="76"/>
      <c r="B41" s="445"/>
      <c r="C41" s="445"/>
      <c r="D41" s="446"/>
      <c r="E41" s="438"/>
      <c r="F41" s="439"/>
      <c r="G41" s="439"/>
      <c r="H41" s="439"/>
      <c r="I41" s="440"/>
      <c r="J41" s="398"/>
      <c r="K41" s="399"/>
      <c r="L41" s="399"/>
      <c r="M41" s="399"/>
      <c r="N41" s="399"/>
      <c r="O41" s="400"/>
      <c r="P41" s="398"/>
      <c r="Q41" s="399"/>
      <c r="R41" s="399"/>
      <c r="S41" s="399"/>
      <c r="T41" s="399"/>
      <c r="U41" s="400"/>
      <c r="V41" s="407"/>
      <c r="W41" s="408"/>
      <c r="X41" s="408"/>
      <c r="Y41" s="408"/>
      <c r="Z41" s="408"/>
      <c r="AA41" s="409"/>
      <c r="AB41" s="425"/>
      <c r="AC41" s="426"/>
      <c r="AD41" s="426"/>
      <c r="AE41" s="426"/>
      <c r="AF41" s="426"/>
      <c r="AG41" s="427"/>
      <c r="AH41" s="416"/>
      <c r="AI41" s="417"/>
      <c r="AJ41" s="417"/>
      <c r="AK41" s="417"/>
      <c r="AL41" s="417"/>
      <c r="AM41" s="418"/>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row>
    <row r="42" spans="1:80" x14ac:dyDescent="0.25">
      <c r="A42" s="76"/>
      <c r="B42" s="445"/>
      <c r="C42" s="445"/>
      <c r="D42" s="446"/>
      <c r="E42" s="438"/>
      <c r="F42" s="439"/>
      <c r="G42" s="439"/>
      <c r="H42" s="439"/>
      <c r="I42" s="440"/>
      <c r="J42" s="398" t="e">
        <f>IF(AND('Mapa final'!#REF!="Muy Baja",'Mapa final'!#REF!="Leve"),CONCATENATE("R",'Mapa final'!#REF!),"")</f>
        <v>#REF!</v>
      </c>
      <c r="K42" s="399"/>
      <c r="L42" s="399" t="e">
        <f>IF(AND('Mapa final'!#REF!="Muy Baja",'Mapa final'!#REF!="Leve"),CONCATENATE("R",'Mapa final'!#REF!),"")</f>
        <v>#REF!</v>
      </c>
      <c r="M42" s="399"/>
      <c r="N42" s="399" t="e">
        <f>IF(AND('Mapa final'!#REF!="Muy Baja",'Mapa final'!#REF!="Leve"),CONCATENATE("R",'Mapa final'!#REF!),"")</f>
        <v>#REF!</v>
      </c>
      <c r="O42" s="400"/>
      <c r="P42" s="398" t="e">
        <f>IF(AND('Mapa final'!#REF!="Muy Baja",'Mapa final'!#REF!="Menor"),CONCATENATE("R",'Mapa final'!#REF!),"")</f>
        <v>#REF!</v>
      </c>
      <c r="Q42" s="399"/>
      <c r="R42" s="399" t="e">
        <f>IF(AND('Mapa final'!#REF!="Muy Baja",'Mapa final'!#REF!="Menor"),CONCATENATE("R",'Mapa final'!#REF!),"")</f>
        <v>#REF!</v>
      </c>
      <c r="S42" s="399"/>
      <c r="T42" s="399" t="e">
        <f>IF(AND('Mapa final'!#REF!="Muy Baja",'Mapa final'!#REF!="Menor"),CONCATENATE("R",'Mapa final'!#REF!),"")</f>
        <v>#REF!</v>
      </c>
      <c r="U42" s="400"/>
      <c r="V42" s="407" t="e">
        <f>IF(AND('Mapa final'!#REF!="Muy Baja",'Mapa final'!#REF!="Moderado"),CONCATENATE("R",'Mapa final'!#REF!),"")</f>
        <v>#REF!</v>
      </c>
      <c r="W42" s="408"/>
      <c r="X42" s="408" t="e">
        <f>IF(AND('Mapa final'!#REF!="Muy Baja",'Mapa final'!#REF!="Moderado"),CONCATENATE("R",'Mapa final'!#REF!),"")</f>
        <v>#REF!</v>
      </c>
      <c r="Y42" s="408"/>
      <c r="Z42" s="408" t="e">
        <f>IF(AND('Mapa final'!#REF!="Muy Baja",'Mapa final'!#REF!="Moderado"),CONCATENATE("R",'Mapa final'!#REF!),"")</f>
        <v>#REF!</v>
      </c>
      <c r="AA42" s="409"/>
      <c r="AB42" s="425" t="e">
        <f>IF(AND('Mapa final'!#REF!="Muy Baja",'Mapa final'!#REF!="Mayor"),CONCATENATE("R",'Mapa final'!#REF!),"")</f>
        <v>#REF!</v>
      </c>
      <c r="AC42" s="426"/>
      <c r="AD42" s="426" t="e">
        <f>IF(AND('Mapa final'!#REF!="Muy Baja",'Mapa final'!#REF!="Mayor"),CONCATENATE("R",'Mapa final'!#REF!),"")</f>
        <v>#REF!</v>
      </c>
      <c r="AE42" s="426"/>
      <c r="AF42" s="426" t="e">
        <f>IF(AND('Mapa final'!#REF!="Muy Baja",'Mapa final'!#REF!="Mayor"),CONCATENATE("R",'Mapa final'!#REF!),"")</f>
        <v>#REF!</v>
      </c>
      <c r="AG42" s="427"/>
      <c r="AH42" s="416" t="e">
        <f>IF(AND('Mapa final'!#REF!="Muy Baja",'Mapa final'!#REF!="Catastrófico"),CONCATENATE("R",'Mapa final'!#REF!),"")</f>
        <v>#REF!</v>
      </c>
      <c r="AI42" s="417"/>
      <c r="AJ42" s="417" t="e">
        <f>IF(AND('Mapa final'!#REF!="Muy Baja",'Mapa final'!#REF!="Catastrófico"),CONCATENATE("R",'Mapa final'!#REF!),"")</f>
        <v>#REF!</v>
      </c>
      <c r="AK42" s="417"/>
      <c r="AL42" s="417" t="e">
        <f>IF(AND('Mapa final'!#REF!="Muy Baja",'Mapa final'!#REF!="Catastrófico"),CONCATENATE("R",'Mapa final'!#REF!),"")</f>
        <v>#REF!</v>
      </c>
      <c r="AM42" s="418"/>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row>
    <row r="43" spans="1:80" x14ac:dyDescent="0.25">
      <c r="A43" s="76"/>
      <c r="B43" s="445"/>
      <c r="C43" s="445"/>
      <c r="D43" s="446"/>
      <c r="E43" s="438"/>
      <c r="F43" s="439"/>
      <c r="G43" s="439"/>
      <c r="H43" s="439"/>
      <c r="I43" s="440"/>
      <c r="J43" s="398"/>
      <c r="K43" s="399"/>
      <c r="L43" s="399"/>
      <c r="M43" s="399"/>
      <c r="N43" s="399"/>
      <c r="O43" s="400"/>
      <c r="P43" s="398"/>
      <c r="Q43" s="399"/>
      <c r="R43" s="399"/>
      <c r="S43" s="399"/>
      <c r="T43" s="399"/>
      <c r="U43" s="400"/>
      <c r="V43" s="407"/>
      <c r="W43" s="408"/>
      <c r="X43" s="408"/>
      <c r="Y43" s="408"/>
      <c r="Z43" s="408"/>
      <c r="AA43" s="409"/>
      <c r="AB43" s="425"/>
      <c r="AC43" s="426"/>
      <c r="AD43" s="426"/>
      <c r="AE43" s="426"/>
      <c r="AF43" s="426"/>
      <c r="AG43" s="427"/>
      <c r="AH43" s="416"/>
      <c r="AI43" s="417"/>
      <c r="AJ43" s="417"/>
      <c r="AK43" s="417"/>
      <c r="AL43" s="417"/>
      <c r="AM43" s="418"/>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c r="BY43" s="76"/>
      <c r="BZ43" s="76"/>
      <c r="CA43" s="76"/>
      <c r="CB43" s="76"/>
    </row>
    <row r="44" spans="1:80" x14ac:dyDescent="0.25">
      <c r="A44" s="76"/>
      <c r="B44" s="445"/>
      <c r="C44" s="445"/>
      <c r="D44" s="446"/>
      <c r="E44" s="438"/>
      <c r="F44" s="439"/>
      <c r="G44" s="439"/>
      <c r="H44" s="439"/>
      <c r="I44" s="440"/>
      <c r="J44" s="398" t="e">
        <f>IF(AND('Mapa final'!#REF!="Muy Baja",'Mapa final'!#REF!="Leve"),CONCATENATE("R",'Mapa final'!#REF!),"")</f>
        <v>#REF!</v>
      </c>
      <c r="K44" s="399"/>
      <c r="L44" s="399" t="e">
        <f>IF(AND('Mapa final'!#REF!="Muy Baja",'Mapa final'!#REF!="Leve"),CONCATENATE("R",'Mapa final'!#REF!),"")</f>
        <v>#REF!</v>
      </c>
      <c r="M44" s="399"/>
      <c r="N44" s="399" t="str">
        <f>IF(AND('Mapa final'!$J$45="Muy Baja",'Mapa final'!$N$45="Leve"),CONCATENATE("R",'Mapa final'!$C$45),"")</f>
        <v/>
      </c>
      <c r="O44" s="400"/>
      <c r="P44" s="398" t="e">
        <f>IF(AND('Mapa final'!#REF!="Muy Baja",'Mapa final'!#REF!="Menor"),CONCATENATE("R",'Mapa final'!#REF!),"")</f>
        <v>#REF!</v>
      </c>
      <c r="Q44" s="399"/>
      <c r="R44" s="399" t="e">
        <f>IF(AND('Mapa final'!#REF!="Muy Baja",'Mapa final'!#REF!="Menor"),CONCATENATE("R",'Mapa final'!#REF!),"")</f>
        <v>#REF!</v>
      </c>
      <c r="S44" s="399"/>
      <c r="T44" s="399" t="str">
        <f>IF(AND('Mapa final'!$J$45="Muy Baja",'Mapa final'!$N$45="Menor"),CONCATENATE("R",'Mapa final'!$C$45),"")</f>
        <v/>
      </c>
      <c r="U44" s="400"/>
      <c r="V44" s="407" t="e">
        <f>IF(AND('Mapa final'!#REF!="Muy Baja",'Mapa final'!#REF!="Moderado"),CONCATENATE("R",'Mapa final'!#REF!),"")</f>
        <v>#REF!</v>
      </c>
      <c r="W44" s="408"/>
      <c r="X44" s="408" t="e">
        <f>IF(AND('Mapa final'!#REF!="Muy Baja",'Mapa final'!#REF!="Moderado"),CONCATENATE("R",'Mapa final'!#REF!),"")</f>
        <v>#REF!</v>
      </c>
      <c r="Y44" s="408"/>
      <c r="Z44" s="408" t="str">
        <f>IF(AND('Mapa final'!$J$45="Muy Baja",'Mapa final'!$N$45="Moderado"),CONCATENATE("R",'Mapa final'!$C$45),"")</f>
        <v/>
      </c>
      <c r="AA44" s="409"/>
      <c r="AB44" s="425" t="e">
        <f>IF(AND('Mapa final'!#REF!="Muy Baja",'Mapa final'!#REF!="Mayor"),CONCATENATE("R",'Mapa final'!#REF!),"")</f>
        <v>#REF!</v>
      </c>
      <c r="AC44" s="426"/>
      <c r="AD44" s="426" t="e">
        <f>IF(AND('Mapa final'!#REF!="Muy Baja",'Mapa final'!#REF!="Mayor"),CONCATENATE("R",'Mapa final'!#REF!),"")</f>
        <v>#REF!</v>
      </c>
      <c r="AE44" s="426"/>
      <c r="AF44" s="426" t="str">
        <f>IF(AND('Mapa final'!$J$45="Muy Baja",'Mapa final'!$N$45="Mayor"),CONCATENATE("R",'Mapa final'!$C$45),"")</f>
        <v/>
      </c>
      <c r="AG44" s="427"/>
      <c r="AH44" s="416" t="e">
        <f>IF(AND('Mapa final'!#REF!="Muy Baja",'Mapa final'!#REF!="Catastrófico"),CONCATENATE("R",'Mapa final'!#REF!),"")</f>
        <v>#REF!</v>
      </c>
      <c r="AI44" s="417"/>
      <c r="AJ44" s="417" t="e">
        <f>IF(AND('Mapa final'!#REF!="Muy Baja",'Mapa final'!#REF!="Catastrófico"),CONCATENATE("R",'Mapa final'!#REF!),"")</f>
        <v>#REF!</v>
      </c>
      <c r="AK44" s="417"/>
      <c r="AL44" s="417" t="str">
        <f>IF(AND('Mapa final'!$J$45="Muy Baja",'Mapa final'!$N$45="Catastrófico"),CONCATENATE("R",'Mapa final'!$C$45),"")</f>
        <v/>
      </c>
      <c r="AM44" s="418"/>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row>
    <row r="45" spans="1:80" ht="15.75" thickBot="1" x14ac:dyDescent="0.3">
      <c r="A45" s="76"/>
      <c r="B45" s="445"/>
      <c r="C45" s="445"/>
      <c r="D45" s="446"/>
      <c r="E45" s="441"/>
      <c r="F45" s="442"/>
      <c r="G45" s="442"/>
      <c r="H45" s="442"/>
      <c r="I45" s="443"/>
      <c r="J45" s="401"/>
      <c r="K45" s="402"/>
      <c r="L45" s="402"/>
      <c r="M45" s="402"/>
      <c r="N45" s="402"/>
      <c r="O45" s="403"/>
      <c r="P45" s="401"/>
      <c r="Q45" s="402"/>
      <c r="R45" s="402"/>
      <c r="S45" s="402"/>
      <c r="T45" s="402"/>
      <c r="U45" s="403"/>
      <c r="V45" s="410"/>
      <c r="W45" s="411"/>
      <c r="X45" s="411"/>
      <c r="Y45" s="411"/>
      <c r="Z45" s="411"/>
      <c r="AA45" s="412"/>
      <c r="AB45" s="428"/>
      <c r="AC45" s="429"/>
      <c r="AD45" s="429"/>
      <c r="AE45" s="429"/>
      <c r="AF45" s="429"/>
      <c r="AG45" s="430"/>
      <c r="AH45" s="419"/>
      <c r="AI45" s="420"/>
      <c r="AJ45" s="420"/>
      <c r="AK45" s="420"/>
      <c r="AL45" s="420"/>
      <c r="AM45" s="421"/>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6"/>
      <c r="BT45" s="76"/>
      <c r="BU45" s="76"/>
      <c r="BV45" s="76"/>
      <c r="BW45" s="76"/>
      <c r="BX45" s="76"/>
      <c r="BY45" s="76"/>
      <c r="BZ45" s="76"/>
      <c r="CA45" s="76"/>
      <c r="CB45" s="76"/>
    </row>
    <row r="46" spans="1:80" x14ac:dyDescent="0.25">
      <c r="A46" s="76"/>
      <c r="B46" s="76"/>
      <c r="C46" s="76"/>
      <c r="D46" s="76"/>
      <c r="E46" s="76"/>
      <c r="F46" s="76"/>
      <c r="G46" s="76"/>
      <c r="H46" s="76"/>
      <c r="I46" s="76"/>
      <c r="J46" s="435" t="s">
        <v>112</v>
      </c>
      <c r="K46" s="436"/>
      <c r="L46" s="436"/>
      <c r="M46" s="436"/>
      <c r="N46" s="436"/>
      <c r="O46" s="437"/>
      <c r="P46" s="435" t="s">
        <v>111</v>
      </c>
      <c r="Q46" s="436"/>
      <c r="R46" s="436"/>
      <c r="S46" s="436"/>
      <c r="T46" s="436"/>
      <c r="U46" s="437"/>
      <c r="V46" s="435" t="s">
        <v>110</v>
      </c>
      <c r="W46" s="436"/>
      <c r="X46" s="436"/>
      <c r="Y46" s="436"/>
      <c r="Z46" s="436"/>
      <c r="AA46" s="437"/>
      <c r="AB46" s="435" t="s">
        <v>109</v>
      </c>
      <c r="AC46" s="444"/>
      <c r="AD46" s="436"/>
      <c r="AE46" s="436"/>
      <c r="AF46" s="436"/>
      <c r="AG46" s="437"/>
      <c r="AH46" s="435" t="s">
        <v>108</v>
      </c>
      <c r="AI46" s="436"/>
      <c r="AJ46" s="436"/>
      <c r="AK46" s="436"/>
      <c r="AL46" s="436"/>
      <c r="AM46" s="437"/>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row>
    <row r="47" spans="1:80" x14ac:dyDescent="0.25">
      <c r="A47" s="76"/>
      <c r="B47" s="76"/>
      <c r="C47" s="76"/>
      <c r="D47" s="76"/>
      <c r="E47" s="76"/>
      <c r="F47" s="76"/>
      <c r="G47" s="76"/>
      <c r="H47" s="76"/>
      <c r="I47" s="76"/>
      <c r="J47" s="438"/>
      <c r="K47" s="439"/>
      <c r="L47" s="439"/>
      <c r="M47" s="439"/>
      <c r="N47" s="439"/>
      <c r="O47" s="440"/>
      <c r="P47" s="438"/>
      <c r="Q47" s="439"/>
      <c r="R47" s="439"/>
      <c r="S47" s="439"/>
      <c r="T47" s="439"/>
      <c r="U47" s="440"/>
      <c r="V47" s="438"/>
      <c r="W47" s="439"/>
      <c r="X47" s="439"/>
      <c r="Y47" s="439"/>
      <c r="Z47" s="439"/>
      <c r="AA47" s="440"/>
      <c r="AB47" s="438"/>
      <c r="AC47" s="439"/>
      <c r="AD47" s="439"/>
      <c r="AE47" s="439"/>
      <c r="AF47" s="439"/>
      <c r="AG47" s="440"/>
      <c r="AH47" s="438"/>
      <c r="AI47" s="439"/>
      <c r="AJ47" s="439"/>
      <c r="AK47" s="439"/>
      <c r="AL47" s="439"/>
      <c r="AM47" s="440"/>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c r="CB47" s="76"/>
    </row>
    <row r="48" spans="1:80" x14ac:dyDescent="0.25">
      <c r="A48" s="76"/>
      <c r="B48" s="76"/>
      <c r="C48" s="76"/>
      <c r="D48" s="76"/>
      <c r="E48" s="76"/>
      <c r="F48" s="76"/>
      <c r="G48" s="76"/>
      <c r="H48" s="76"/>
      <c r="I48" s="76"/>
      <c r="J48" s="438"/>
      <c r="K48" s="439"/>
      <c r="L48" s="439"/>
      <c r="M48" s="439"/>
      <c r="N48" s="439"/>
      <c r="O48" s="440"/>
      <c r="P48" s="438"/>
      <c r="Q48" s="439"/>
      <c r="R48" s="439"/>
      <c r="S48" s="439"/>
      <c r="T48" s="439"/>
      <c r="U48" s="440"/>
      <c r="V48" s="438"/>
      <c r="W48" s="439"/>
      <c r="X48" s="439"/>
      <c r="Y48" s="439"/>
      <c r="Z48" s="439"/>
      <c r="AA48" s="440"/>
      <c r="AB48" s="438"/>
      <c r="AC48" s="439"/>
      <c r="AD48" s="439"/>
      <c r="AE48" s="439"/>
      <c r="AF48" s="439"/>
      <c r="AG48" s="440"/>
      <c r="AH48" s="438"/>
      <c r="AI48" s="439"/>
      <c r="AJ48" s="439"/>
      <c r="AK48" s="439"/>
      <c r="AL48" s="439"/>
      <c r="AM48" s="440"/>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row>
    <row r="49" spans="1:80" x14ac:dyDescent="0.25">
      <c r="A49" s="76"/>
      <c r="B49" s="76"/>
      <c r="C49" s="76"/>
      <c r="D49" s="76"/>
      <c r="E49" s="76"/>
      <c r="F49" s="76"/>
      <c r="G49" s="76"/>
      <c r="H49" s="76"/>
      <c r="I49" s="76"/>
      <c r="J49" s="438"/>
      <c r="K49" s="439"/>
      <c r="L49" s="439"/>
      <c r="M49" s="439"/>
      <c r="N49" s="439"/>
      <c r="O49" s="440"/>
      <c r="P49" s="438"/>
      <c r="Q49" s="439"/>
      <c r="R49" s="439"/>
      <c r="S49" s="439"/>
      <c r="T49" s="439"/>
      <c r="U49" s="440"/>
      <c r="V49" s="438"/>
      <c r="W49" s="439"/>
      <c r="X49" s="439"/>
      <c r="Y49" s="439"/>
      <c r="Z49" s="439"/>
      <c r="AA49" s="440"/>
      <c r="AB49" s="438"/>
      <c r="AC49" s="439"/>
      <c r="AD49" s="439"/>
      <c r="AE49" s="439"/>
      <c r="AF49" s="439"/>
      <c r="AG49" s="440"/>
      <c r="AH49" s="438"/>
      <c r="AI49" s="439"/>
      <c r="AJ49" s="439"/>
      <c r="AK49" s="439"/>
      <c r="AL49" s="439"/>
      <c r="AM49" s="440"/>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row>
    <row r="50" spans="1:80" x14ac:dyDescent="0.25">
      <c r="A50" s="76"/>
      <c r="B50" s="76"/>
      <c r="C50" s="76"/>
      <c r="D50" s="76"/>
      <c r="E50" s="76"/>
      <c r="F50" s="76"/>
      <c r="G50" s="76"/>
      <c r="H50" s="76"/>
      <c r="I50" s="76"/>
      <c r="J50" s="438"/>
      <c r="K50" s="439"/>
      <c r="L50" s="439"/>
      <c r="M50" s="439"/>
      <c r="N50" s="439"/>
      <c r="O50" s="440"/>
      <c r="P50" s="438"/>
      <c r="Q50" s="439"/>
      <c r="R50" s="439"/>
      <c r="S50" s="439"/>
      <c r="T50" s="439"/>
      <c r="U50" s="440"/>
      <c r="V50" s="438"/>
      <c r="W50" s="439"/>
      <c r="X50" s="439"/>
      <c r="Y50" s="439"/>
      <c r="Z50" s="439"/>
      <c r="AA50" s="440"/>
      <c r="AB50" s="438"/>
      <c r="AC50" s="439"/>
      <c r="AD50" s="439"/>
      <c r="AE50" s="439"/>
      <c r="AF50" s="439"/>
      <c r="AG50" s="440"/>
      <c r="AH50" s="438"/>
      <c r="AI50" s="439"/>
      <c r="AJ50" s="439"/>
      <c r="AK50" s="439"/>
      <c r="AL50" s="439"/>
      <c r="AM50" s="440"/>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row>
    <row r="51" spans="1:80" ht="15.75" thickBot="1" x14ac:dyDescent="0.3">
      <c r="A51" s="76"/>
      <c r="B51" s="76"/>
      <c r="C51" s="76"/>
      <c r="D51" s="76"/>
      <c r="E51" s="76"/>
      <c r="F51" s="76"/>
      <c r="G51" s="76"/>
      <c r="H51" s="76"/>
      <c r="I51" s="76"/>
      <c r="J51" s="441"/>
      <c r="K51" s="442"/>
      <c r="L51" s="442"/>
      <c r="M51" s="442"/>
      <c r="N51" s="442"/>
      <c r="O51" s="443"/>
      <c r="P51" s="441"/>
      <c r="Q51" s="442"/>
      <c r="R51" s="442"/>
      <c r="S51" s="442"/>
      <c r="T51" s="442"/>
      <c r="U51" s="443"/>
      <c r="V51" s="441"/>
      <c r="W51" s="442"/>
      <c r="X51" s="442"/>
      <c r="Y51" s="442"/>
      <c r="Z51" s="442"/>
      <c r="AA51" s="443"/>
      <c r="AB51" s="441"/>
      <c r="AC51" s="442"/>
      <c r="AD51" s="442"/>
      <c r="AE51" s="442"/>
      <c r="AF51" s="442"/>
      <c r="AG51" s="443"/>
      <c r="AH51" s="441"/>
      <c r="AI51" s="442"/>
      <c r="AJ51" s="442"/>
      <c r="AK51" s="442"/>
      <c r="AL51" s="442"/>
      <c r="AM51" s="443"/>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76"/>
      <c r="CA51" s="76"/>
      <c r="CB51" s="76"/>
    </row>
    <row r="52" spans="1:80" x14ac:dyDescent="0.25">
      <c r="A52" s="76"/>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row>
    <row r="53" spans="1:80" ht="15" customHeight="1" x14ac:dyDescent="0.25">
      <c r="A53" s="76"/>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76"/>
      <c r="AV53" s="76"/>
      <c r="AW53" s="76"/>
      <c r="AX53" s="76"/>
      <c r="AY53" s="76"/>
      <c r="AZ53" s="76"/>
      <c r="BA53" s="76"/>
      <c r="BB53" s="76"/>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row>
    <row r="54" spans="1:80" ht="15" customHeight="1" x14ac:dyDescent="0.25">
      <c r="A54" s="76"/>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row>
    <row r="55" spans="1:80" x14ac:dyDescent="0.25">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row>
    <row r="56" spans="1:80" x14ac:dyDescent="0.25">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row>
    <row r="57" spans="1:80" x14ac:dyDescent="0.25">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row>
    <row r="58" spans="1:80" x14ac:dyDescent="0.25">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row>
    <row r="59" spans="1:80" x14ac:dyDescent="0.25">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row>
    <row r="60" spans="1:80" x14ac:dyDescent="0.25">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row>
    <row r="61" spans="1:80" x14ac:dyDescent="0.25">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row>
    <row r="62" spans="1:80" x14ac:dyDescent="0.25">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row>
    <row r="63" spans="1:80" x14ac:dyDescent="0.25">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row>
    <row r="64" spans="1:80" x14ac:dyDescent="0.25">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row>
    <row r="65" spans="1:80" x14ac:dyDescent="0.25">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row>
    <row r="66" spans="1:80" x14ac:dyDescent="0.25">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6"/>
      <c r="BR66" s="76"/>
      <c r="BS66" s="76"/>
      <c r="BT66" s="76"/>
      <c r="BU66" s="76"/>
      <c r="BV66" s="76"/>
      <c r="BW66" s="76"/>
      <c r="BX66" s="76"/>
      <c r="BY66" s="76"/>
      <c r="BZ66" s="76"/>
      <c r="CA66" s="76"/>
      <c r="CB66" s="76"/>
    </row>
    <row r="67" spans="1:80" x14ac:dyDescent="0.25">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
      <c r="BW67" s="76"/>
      <c r="BX67" s="76"/>
      <c r="BY67" s="76"/>
      <c r="BZ67" s="76"/>
      <c r="CA67" s="76"/>
      <c r="CB67" s="76"/>
    </row>
    <row r="68" spans="1:80" x14ac:dyDescent="0.25">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c r="BZ68" s="76"/>
      <c r="CA68" s="76"/>
      <c r="CB68" s="76"/>
    </row>
    <row r="69" spans="1:80" x14ac:dyDescent="0.25">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row>
    <row r="70" spans="1:80" x14ac:dyDescent="0.25">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row>
    <row r="71" spans="1:80" x14ac:dyDescent="0.25">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row>
    <row r="72" spans="1:80" x14ac:dyDescent="0.25">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76"/>
      <c r="BX72" s="76"/>
      <c r="BY72" s="76"/>
      <c r="BZ72" s="76"/>
      <c r="CA72" s="76"/>
      <c r="CB72" s="76"/>
    </row>
    <row r="73" spans="1:80" x14ac:dyDescent="0.25">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row>
    <row r="74" spans="1:80" x14ac:dyDescent="0.25">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row>
    <row r="75" spans="1:80" x14ac:dyDescent="0.25">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row>
    <row r="76" spans="1:80" x14ac:dyDescent="0.25">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c r="BM76" s="76"/>
      <c r="BN76" s="76"/>
      <c r="BO76" s="76"/>
      <c r="BP76" s="76"/>
      <c r="BQ76" s="76"/>
      <c r="BR76" s="76"/>
      <c r="BS76" s="76"/>
      <c r="BT76" s="76"/>
      <c r="BU76" s="76"/>
      <c r="BV76" s="76"/>
      <c r="BW76" s="76"/>
      <c r="BX76" s="76"/>
      <c r="BY76" s="76"/>
      <c r="BZ76" s="76"/>
      <c r="CA76" s="76"/>
      <c r="CB76" s="76"/>
    </row>
    <row r="77" spans="1:80" x14ac:dyDescent="0.25">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76"/>
      <c r="BN77" s="76"/>
      <c r="BO77" s="76"/>
      <c r="BP77" s="76"/>
      <c r="BQ77" s="76"/>
      <c r="BR77" s="76"/>
      <c r="BS77" s="76"/>
      <c r="BT77" s="76"/>
      <c r="BU77" s="76"/>
      <c r="BV77" s="76"/>
      <c r="BW77" s="76"/>
      <c r="BX77" s="76"/>
      <c r="BY77" s="76"/>
      <c r="BZ77" s="76"/>
      <c r="CA77" s="76"/>
      <c r="CB77" s="76"/>
    </row>
    <row r="78" spans="1:80" x14ac:dyDescent="0.25">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c r="BM78" s="76"/>
      <c r="BN78" s="76"/>
      <c r="BO78" s="76"/>
      <c r="BP78" s="76"/>
      <c r="BQ78" s="76"/>
      <c r="BR78" s="76"/>
      <c r="BS78" s="76"/>
      <c r="BT78" s="76"/>
      <c r="BU78" s="76"/>
      <c r="BV78" s="76"/>
      <c r="BW78" s="76"/>
      <c r="BX78" s="76"/>
      <c r="BY78" s="76"/>
      <c r="BZ78" s="76"/>
      <c r="CA78" s="76"/>
      <c r="CB78" s="76"/>
    </row>
    <row r="79" spans="1:80" x14ac:dyDescent="0.25">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row>
    <row r="80" spans="1:80" x14ac:dyDescent="0.25">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row>
    <row r="81" spans="1:63" x14ac:dyDescent="0.25">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row>
    <row r="82" spans="1:63" x14ac:dyDescent="0.25">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row>
    <row r="83" spans="1:63" x14ac:dyDescent="0.25">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row>
    <row r="84" spans="1:63" x14ac:dyDescent="0.25">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row>
    <row r="85" spans="1:63" x14ac:dyDescent="0.25">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row>
    <row r="86" spans="1:63" x14ac:dyDescent="0.25">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row>
    <row r="87" spans="1:63" x14ac:dyDescent="0.25">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row>
    <row r="88" spans="1:63" x14ac:dyDescent="0.25">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row>
    <row r="89" spans="1:63" x14ac:dyDescent="0.25">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row>
    <row r="90" spans="1:63" x14ac:dyDescent="0.25">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c r="BG90" s="76"/>
      <c r="BH90" s="76"/>
      <c r="BI90" s="76"/>
      <c r="BJ90" s="76"/>
      <c r="BK90" s="76"/>
    </row>
    <row r="91" spans="1:63" x14ac:dyDescent="0.25">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c r="BI91" s="76"/>
      <c r="BJ91" s="76"/>
      <c r="BK91" s="76"/>
    </row>
    <row r="92" spans="1:63" x14ac:dyDescent="0.25">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c r="BI92" s="76"/>
      <c r="BJ92" s="76"/>
      <c r="BK92" s="76"/>
    </row>
    <row r="93" spans="1:63" x14ac:dyDescent="0.25">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row>
    <row r="94" spans="1:63" x14ac:dyDescent="0.25">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row>
    <row r="95" spans="1:63" x14ac:dyDescent="0.25">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row>
    <row r="96" spans="1:63" x14ac:dyDescent="0.25">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row>
    <row r="97" spans="1:63" x14ac:dyDescent="0.25">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row>
    <row r="98" spans="1:63" x14ac:dyDescent="0.25">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c r="BI98" s="76"/>
      <c r="BJ98" s="76"/>
      <c r="BK98" s="76"/>
    </row>
    <row r="99" spans="1:63" x14ac:dyDescent="0.25">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c r="BG99" s="76"/>
      <c r="BH99" s="76"/>
      <c r="BI99" s="76"/>
      <c r="BJ99" s="76"/>
      <c r="BK99" s="76"/>
    </row>
    <row r="100" spans="1:63" x14ac:dyDescent="0.25">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row>
    <row r="101" spans="1:63" x14ac:dyDescent="0.25">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c r="BI101" s="76"/>
      <c r="BJ101" s="76"/>
      <c r="BK101" s="76"/>
    </row>
    <row r="102" spans="1:63" x14ac:dyDescent="0.25">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c r="BG102" s="76"/>
      <c r="BH102" s="76"/>
      <c r="BI102" s="76"/>
      <c r="BJ102" s="76"/>
      <c r="BK102" s="76"/>
    </row>
    <row r="103" spans="1:63" x14ac:dyDescent="0.25">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row>
    <row r="104" spans="1:63" x14ac:dyDescent="0.25">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row>
    <row r="105" spans="1:63" x14ac:dyDescent="0.25">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6"/>
      <c r="BK105" s="76"/>
    </row>
    <row r="106" spans="1:63" x14ac:dyDescent="0.25">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c r="BG106" s="76"/>
      <c r="BH106" s="76"/>
      <c r="BI106" s="76"/>
      <c r="BJ106" s="76"/>
      <c r="BK106" s="76"/>
    </row>
    <row r="107" spans="1:63" x14ac:dyDescent="0.25">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76"/>
      <c r="AU107" s="76"/>
      <c r="AV107" s="76"/>
      <c r="AW107" s="76"/>
      <c r="AX107" s="76"/>
      <c r="AY107" s="76"/>
      <c r="AZ107" s="76"/>
      <c r="BA107" s="76"/>
      <c r="BB107" s="76"/>
      <c r="BC107" s="76"/>
      <c r="BD107" s="76"/>
      <c r="BE107" s="76"/>
      <c r="BF107" s="76"/>
      <c r="BG107" s="76"/>
      <c r="BH107" s="76"/>
      <c r="BI107" s="76"/>
      <c r="BJ107" s="76"/>
      <c r="BK107" s="76"/>
    </row>
    <row r="108" spans="1:63" x14ac:dyDescent="0.25">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76"/>
      <c r="AZ108" s="76"/>
      <c r="BA108" s="76"/>
      <c r="BB108" s="76"/>
      <c r="BC108" s="76"/>
      <c r="BD108" s="76"/>
      <c r="BE108" s="76"/>
      <c r="BF108" s="76"/>
      <c r="BG108" s="76"/>
      <c r="BH108" s="76"/>
      <c r="BI108" s="76"/>
      <c r="BJ108" s="76"/>
      <c r="BK108" s="76"/>
    </row>
    <row r="109" spans="1:63" x14ac:dyDescent="0.25">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76"/>
      <c r="BA109" s="76"/>
      <c r="BB109" s="76"/>
      <c r="BC109" s="76"/>
      <c r="BD109" s="76"/>
      <c r="BE109" s="76"/>
      <c r="BF109" s="76"/>
      <c r="BG109" s="76"/>
      <c r="BH109" s="76"/>
      <c r="BI109" s="76"/>
      <c r="BJ109" s="76"/>
      <c r="BK109" s="76"/>
    </row>
    <row r="110" spans="1:63" x14ac:dyDescent="0.25">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6"/>
      <c r="AV110" s="76"/>
      <c r="AW110" s="76"/>
      <c r="AX110" s="76"/>
      <c r="AY110" s="76"/>
      <c r="AZ110" s="76"/>
      <c r="BA110" s="76"/>
      <c r="BB110" s="76"/>
      <c r="BC110" s="76"/>
      <c r="BD110" s="76"/>
      <c r="BE110" s="76"/>
      <c r="BF110" s="76"/>
      <c r="BG110" s="76"/>
      <c r="BH110" s="76"/>
      <c r="BI110" s="76"/>
      <c r="BJ110" s="76"/>
      <c r="BK110" s="76"/>
    </row>
    <row r="111" spans="1:63" x14ac:dyDescent="0.25">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c r="BE111" s="76"/>
      <c r="BF111" s="76"/>
      <c r="BG111" s="76"/>
      <c r="BH111" s="76"/>
      <c r="BI111" s="76"/>
      <c r="BJ111" s="76"/>
      <c r="BK111" s="76"/>
    </row>
    <row r="112" spans="1:63" x14ac:dyDescent="0.25">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c r="BC112" s="76"/>
      <c r="BD112" s="76"/>
      <c r="BE112" s="76"/>
      <c r="BF112" s="76"/>
      <c r="BG112" s="76"/>
      <c r="BH112" s="76"/>
      <c r="BI112" s="76"/>
      <c r="BJ112" s="76"/>
      <c r="BK112" s="76"/>
    </row>
    <row r="113" spans="1:63" x14ac:dyDescent="0.25">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c r="AX113" s="76"/>
      <c r="AY113" s="76"/>
      <c r="AZ113" s="76"/>
      <c r="BA113" s="76"/>
      <c r="BB113" s="76"/>
      <c r="BC113" s="76"/>
      <c r="BD113" s="76"/>
      <c r="BE113" s="76"/>
      <c r="BF113" s="76"/>
      <c r="BG113" s="76"/>
      <c r="BH113" s="76"/>
      <c r="BI113" s="76"/>
      <c r="BJ113" s="76"/>
      <c r="BK113" s="76"/>
    </row>
    <row r="114" spans="1:63" x14ac:dyDescent="0.25">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c r="BI114" s="76"/>
      <c r="BJ114" s="76"/>
      <c r="BK114" s="76"/>
    </row>
    <row r="115" spans="1:63" x14ac:dyDescent="0.25">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c r="BE115" s="76"/>
      <c r="BF115" s="76"/>
      <c r="BG115" s="76"/>
      <c r="BH115" s="76"/>
      <c r="BI115" s="76"/>
      <c r="BJ115" s="76"/>
      <c r="BK115" s="76"/>
    </row>
    <row r="116" spans="1:63" x14ac:dyDescent="0.25">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c r="AX116" s="76"/>
      <c r="AY116" s="76"/>
      <c r="AZ116" s="76"/>
      <c r="BA116" s="76"/>
      <c r="BB116" s="76"/>
      <c r="BC116" s="76"/>
      <c r="BD116" s="76"/>
      <c r="BE116" s="76"/>
      <c r="BF116" s="76"/>
      <c r="BG116" s="76"/>
      <c r="BH116" s="76"/>
      <c r="BI116" s="76"/>
      <c r="BJ116" s="76"/>
      <c r="BK116" s="76"/>
    </row>
    <row r="117" spans="1:63" x14ac:dyDescent="0.25">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AY117" s="76"/>
      <c r="AZ117" s="76"/>
      <c r="BA117" s="76"/>
      <c r="BB117" s="76"/>
      <c r="BC117" s="76"/>
      <c r="BD117" s="76"/>
      <c r="BE117" s="76"/>
      <c r="BF117" s="76"/>
      <c r="BG117" s="76"/>
      <c r="BH117" s="76"/>
      <c r="BI117" s="76"/>
      <c r="BJ117" s="76"/>
      <c r="BK117" s="76"/>
    </row>
    <row r="118" spans="1:63" x14ac:dyDescent="0.25">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c r="AX118" s="76"/>
      <c r="AY118" s="76"/>
      <c r="AZ118" s="76"/>
      <c r="BA118" s="76"/>
      <c r="BB118" s="76"/>
      <c r="BC118" s="76"/>
      <c r="BD118" s="76"/>
      <c r="BE118" s="76"/>
      <c r="BF118" s="76"/>
      <c r="BG118" s="76"/>
      <c r="BH118" s="76"/>
      <c r="BI118" s="76"/>
      <c r="BJ118" s="76"/>
      <c r="BK118" s="76"/>
    </row>
    <row r="119" spans="1:63" x14ac:dyDescent="0.25">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row>
    <row r="120" spans="1:63" x14ac:dyDescent="0.25">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AY120" s="76"/>
      <c r="AZ120" s="76"/>
      <c r="BA120" s="76"/>
      <c r="BB120" s="76"/>
      <c r="BC120" s="76"/>
      <c r="BD120" s="76"/>
      <c r="BE120" s="76"/>
      <c r="BF120" s="76"/>
      <c r="BG120" s="76"/>
      <c r="BH120" s="76"/>
      <c r="BI120" s="76"/>
      <c r="BJ120" s="76"/>
      <c r="BK120" s="76"/>
    </row>
    <row r="121" spans="1:63" x14ac:dyDescent="0.25">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row>
    <row r="122" spans="1:63" x14ac:dyDescent="0.25">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6"/>
      <c r="AZ122" s="76"/>
      <c r="BA122" s="76"/>
      <c r="BB122" s="76"/>
      <c r="BC122" s="76"/>
      <c r="BD122" s="76"/>
      <c r="BE122" s="76"/>
      <c r="BF122" s="76"/>
      <c r="BG122" s="76"/>
      <c r="BH122" s="76"/>
      <c r="BI122" s="76"/>
      <c r="BJ122" s="76"/>
      <c r="BK122" s="76"/>
    </row>
    <row r="123" spans="1:63" x14ac:dyDescent="0.25">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6"/>
      <c r="AV123" s="76"/>
      <c r="AW123" s="76"/>
      <c r="AX123" s="76"/>
      <c r="AY123" s="76"/>
      <c r="AZ123" s="76"/>
      <c r="BA123" s="76"/>
      <c r="BB123" s="76"/>
      <c r="BC123" s="76"/>
      <c r="BD123" s="76"/>
      <c r="BE123" s="76"/>
      <c r="BF123" s="76"/>
      <c r="BG123" s="76"/>
      <c r="BH123" s="76"/>
      <c r="BI123" s="76"/>
      <c r="BJ123" s="76"/>
      <c r="BK123" s="76"/>
    </row>
    <row r="124" spans="1:63" x14ac:dyDescent="0.25">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c r="AY124" s="76"/>
      <c r="AZ124" s="76"/>
      <c r="BA124" s="76"/>
      <c r="BB124" s="76"/>
      <c r="BC124" s="76"/>
      <c r="BD124" s="76"/>
      <c r="BE124" s="76"/>
      <c r="BF124" s="76"/>
      <c r="BG124" s="76"/>
      <c r="BH124" s="76"/>
      <c r="BI124" s="76"/>
      <c r="BJ124" s="76"/>
      <c r="BK124" s="76"/>
    </row>
    <row r="125" spans="1:63" x14ac:dyDescent="0.25">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c r="AV125" s="76"/>
      <c r="AW125" s="76"/>
      <c r="AX125" s="76"/>
      <c r="AY125" s="76"/>
      <c r="AZ125" s="76"/>
      <c r="BA125" s="76"/>
      <c r="BB125" s="76"/>
      <c r="BC125" s="76"/>
      <c r="BD125" s="76"/>
      <c r="BE125" s="76"/>
      <c r="BF125" s="76"/>
      <c r="BG125" s="76"/>
      <c r="BH125" s="76"/>
      <c r="BI125" s="76"/>
      <c r="BJ125" s="76"/>
      <c r="BK125" s="76"/>
    </row>
    <row r="126" spans="1:63" x14ac:dyDescent="0.25">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c r="AP126" s="76"/>
      <c r="AQ126" s="76"/>
      <c r="AR126" s="76"/>
      <c r="AS126" s="76"/>
      <c r="AT126" s="76"/>
      <c r="AU126" s="76"/>
      <c r="AV126" s="76"/>
      <c r="AW126" s="76"/>
      <c r="AX126" s="76"/>
      <c r="AY126" s="76"/>
      <c r="AZ126" s="76"/>
      <c r="BA126" s="76"/>
      <c r="BB126" s="76"/>
      <c r="BC126" s="76"/>
      <c r="BD126" s="76"/>
      <c r="BE126" s="76"/>
      <c r="BF126" s="76"/>
      <c r="BG126" s="76"/>
      <c r="BH126" s="76"/>
      <c r="BI126" s="76"/>
      <c r="BJ126" s="76"/>
      <c r="BK126" s="76"/>
    </row>
    <row r="127" spans="1:63" x14ac:dyDescent="0.25">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6"/>
      <c r="AV127" s="76"/>
      <c r="AW127" s="76"/>
      <c r="AX127" s="76"/>
      <c r="AY127" s="76"/>
      <c r="AZ127" s="76"/>
      <c r="BA127" s="76"/>
      <c r="BB127" s="76"/>
      <c r="BC127" s="76"/>
      <c r="BD127" s="76"/>
      <c r="BE127" s="76"/>
      <c r="BF127" s="76"/>
      <c r="BG127" s="76"/>
      <c r="BH127" s="76"/>
      <c r="BI127" s="76"/>
      <c r="BJ127" s="76"/>
      <c r="BK127" s="76"/>
    </row>
    <row r="128" spans="1:63" x14ac:dyDescent="0.2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AY128" s="76"/>
      <c r="AZ128" s="76"/>
      <c r="BA128" s="76"/>
      <c r="BB128" s="76"/>
      <c r="BC128" s="76"/>
      <c r="BD128" s="76"/>
      <c r="BE128" s="76"/>
      <c r="BF128" s="76"/>
      <c r="BG128" s="76"/>
      <c r="BH128" s="76"/>
      <c r="BI128" s="76"/>
      <c r="BJ128" s="76"/>
      <c r="BK128" s="76"/>
    </row>
    <row r="129" spans="2:63" x14ac:dyDescent="0.25">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c r="BF129" s="76"/>
      <c r="BG129" s="76"/>
      <c r="BH129" s="76"/>
      <c r="BI129" s="76"/>
      <c r="BJ129" s="76"/>
      <c r="BK129" s="76"/>
    </row>
    <row r="130" spans="2:63" x14ac:dyDescent="0.25">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6"/>
      <c r="BE130" s="76"/>
      <c r="BF130" s="76"/>
      <c r="BG130" s="76"/>
      <c r="BH130" s="76"/>
      <c r="BI130" s="76"/>
      <c r="BJ130" s="76"/>
      <c r="BK130" s="76"/>
    </row>
    <row r="131" spans="2:63" x14ac:dyDescent="0.25">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c r="BE131" s="76"/>
      <c r="BF131" s="76"/>
      <c r="BG131" s="76"/>
      <c r="BH131" s="76"/>
      <c r="BI131" s="76"/>
      <c r="BJ131" s="76"/>
      <c r="BK131" s="76"/>
    </row>
    <row r="132" spans="2:63" x14ac:dyDescent="0.25">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c r="AN132" s="76"/>
      <c r="AO132" s="76"/>
      <c r="AP132" s="76"/>
      <c r="AQ132" s="76"/>
      <c r="AR132" s="76"/>
      <c r="AS132" s="76"/>
      <c r="AT132" s="76"/>
      <c r="AU132" s="76"/>
      <c r="AV132" s="76"/>
      <c r="AW132" s="76"/>
      <c r="AX132" s="76"/>
      <c r="AY132" s="76"/>
      <c r="AZ132" s="76"/>
      <c r="BA132" s="76"/>
      <c r="BB132" s="76"/>
      <c r="BC132" s="76"/>
      <c r="BD132" s="76"/>
      <c r="BE132" s="76"/>
      <c r="BF132" s="76"/>
      <c r="BG132" s="76"/>
      <c r="BH132" s="76"/>
      <c r="BI132" s="76"/>
      <c r="BJ132" s="76"/>
      <c r="BK132" s="76"/>
    </row>
    <row r="133" spans="2:63" x14ac:dyDescent="0.25">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c r="BC133" s="76"/>
      <c r="BD133" s="76"/>
      <c r="BE133" s="76"/>
      <c r="BF133" s="76"/>
      <c r="BG133" s="76"/>
      <c r="BH133" s="76"/>
      <c r="BI133" s="76"/>
      <c r="BJ133" s="76"/>
      <c r="BK133" s="76"/>
    </row>
    <row r="134" spans="2:63" x14ac:dyDescent="0.25">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6"/>
      <c r="AY134" s="76"/>
      <c r="AZ134" s="76"/>
      <c r="BA134" s="76"/>
      <c r="BB134" s="76"/>
      <c r="BC134" s="76"/>
      <c r="BD134" s="76"/>
      <c r="BE134" s="76"/>
      <c r="BF134" s="76"/>
      <c r="BG134" s="76"/>
      <c r="BH134" s="76"/>
      <c r="BI134" s="76"/>
      <c r="BJ134" s="76"/>
      <c r="BK134" s="76"/>
    </row>
    <row r="135" spans="2:63" x14ac:dyDescent="0.25">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76"/>
      <c r="BF135" s="76"/>
      <c r="BG135" s="76"/>
      <c r="BH135" s="76"/>
      <c r="BI135" s="76"/>
      <c r="BJ135" s="76"/>
      <c r="BK135" s="76"/>
    </row>
    <row r="136" spans="2:63" x14ac:dyDescent="0.25">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6"/>
      <c r="BB136" s="76"/>
      <c r="BC136" s="76"/>
      <c r="BD136" s="76"/>
      <c r="BE136" s="76"/>
      <c r="BF136" s="76"/>
      <c r="BG136" s="76"/>
      <c r="BH136" s="76"/>
      <c r="BI136" s="76"/>
      <c r="BJ136" s="76"/>
      <c r="BK136" s="76"/>
    </row>
    <row r="137" spans="2:63" x14ac:dyDescent="0.25">
      <c r="B137" s="76"/>
      <c r="C137" s="76"/>
      <c r="D137" s="76"/>
      <c r="E137" s="76"/>
      <c r="F137" s="76"/>
      <c r="G137" s="76"/>
      <c r="H137" s="76"/>
      <c r="I137" s="76"/>
    </row>
    <row r="138" spans="2:63" x14ac:dyDescent="0.25">
      <c r="B138" s="76"/>
      <c r="C138" s="76"/>
      <c r="D138" s="76"/>
      <c r="E138" s="76"/>
      <c r="F138" s="76"/>
      <c r="G138" s="76"/>
      <c r="H138" s="76"/>
      <c r="I138" s="76"/>
    </row>
    <row r="139" spans="2:63" x14ac:dyDescent="0.25">
      <c r="B139" s="76"/>
      <c r="C139" s="76"/>
      <c r="D139" s="76"/>
      <c r="E139" s="76"/>
      <c r="F139" s="76"/>
      <c r="G139" s="76"/>
      <c r="H139" s="76"/>
      <c r="I139" s="76"/>
    </row>
    <row r="140" spans="2:63" x14ac:dyDescent="0.25">
      <c r="B140" s="76"/>
      <c r="C140" s="76"/>
      <c r="D140" s="76"/>
      <c r="E140" s="76"/>
      <c r="F140" s="76"/>
      <c r="G140" s="76"/>
      <c r="H140" s="76"/>
      <c r="I140" s="76"/>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zoomScalePageLayoutView="50" workbookViewId="0">
      <selection activeCell="J6" sqref="J6"/>
    </sheetView>
  </sheetViews>
  <sheetFormatPr baseColWidth="10" defaultColWidth="10.7109375"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6"/>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row>
    <row r="2" spans="1:91" ht="18" customHeight="1" x14ac:dyDescent="0.25">
      <c r="A2" s="76"/>
      <c r="B2" s="512" t="s">
        <v>155</v>
      </c>
      <c r="C2" s="513"/>
      <c r="D2" s="513"/>
      <c r="E2" s="513"/>
      <c r="F2" s="513"/>
      <c r="G2" s="513"/>
      <c r="H2" s="513"/>
      <c r="I2" s="513"/>
      <c r="J2" s="434" t="s">
        <v>2</v>
      </c>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row>
    <row r="3" spans="1:91" ht="18.75" customHeight="1" x14ac:dyDescent="0.25">
      <c r="A3" s="76"/>
      <c r="B3" s="513"/>
      <c r="C3" s="513"/>
      <c r="D3" s="513"/>
      <c r="E3" s="513"/>
      <c r="F3" s="513"/>
      <c r="G3" s="513"/>
      <c r="H3" s="513"/>
      <c r="I3" s="513"/>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row>
    <row r="4" spans="1:91" ht="15" customHeight="1" x14ac:dyDescent="0.25">
      <c r="A4" s="76"/>
      <c r="B4" s="513"/>
      <c r="C4" s="513"/>
      <c r="D4" s="513"/>
      <c r="E4" s="513"/>
      <c r="F4" s="513"/>
      <c r="G4" s="513"/>
      <c r="H4" s="513"/>
      <c r="I4" s="513"/>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row>
    <row r="5" spans="1:91" ht="15.75" thickBot="1" x14ac:dyDescent="0.3">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row>
    <row r="6" spans="1:91" ht="15" customHeight="1" x14ac:dyDescent="0.25">
      <c r="A6" s="76"/>
      <c r="B6" s="445" t="s">
        <v>4</v>
      </c>
      <c r="C6" s="445"/>
      <c r="D6" s="446"/>
      <c r="E6" s="483" t="s">
        <v>116</v>
      </c>
      <c r="F6" s="484"/>
      <c r="G6" s="484"/>
      <c r="H6" s="484"/>
      <c r="I6" s="485"/>
      <c r="J6" s="39" t="str">
        <f>IF(AND('Mapa final'!$AA$20="Muy Alta",'Mapa final'!$AC$20="Leve"),CONCATENATE("R1C",'Mapa final'!$Q$20),"")</f>
        <v/>
      </c>
      <c r="K6" s="40" t="str">
        <f>IF(AND('Mapa final'!$AA$21="Muy Alta",'Mapa final'!$AC$21="Leve"),CONCATENATE("R1C",'Mapa final'!$Q$21),"")</f>
        <v/>
      </c>
      <c r="L6" s="40" t="str">
        <f>IF(AND('Mapa final'!$AA$22="Muy Alta",'Mapa final'!$AC$22="Leve"),CONCATENATE("R1C",'Mapa final'!$Q$22),"")</f>
        <v/>
      </c>
      <c r="M6" s="40" t="e">
        <f>IF(AND('Mapa final'!#REF!="Muy Alta",'Mapa final'!#REF!="Leve"),CONCATENATE("R1C",'Mapa final'!#REF!),"")</f>
        <v>#REF!</v>
      </c>
      <c r="N6" s="40" t="e">
        <f>IF(AND('Mapa final'!#REF!="Muy Alta",'Mapa final'!#REF!="Leve"),CONCATENATE("R1C",'Mapa final'!#REF!),"")</f>
        <v>#REF!</v>
      </c>
      <c r="O6" s="41" t="e">
        <f>IF(AND('Mapa final'!#REF!="Muy Alta",'Mapa final'!#REF!="Leve"),CONCATENATE("R1C",'Mapa final'!#REF!),"")</f>
        <v>#REF!</v>
      </c>
      <c r="P6" s="39" t="str">
        <f>IF(AND('Mapa final'!$AA$20="Muy Alta",'Mapa final'!$AC$20="Menor"),CONCATENATE("R1C",'Mapa final'!$Q$20),"")</f>
        <v/>
      </c>
      <c r="Q6" s="40" t="str">
        <f>IF(AND('Mapa final'!$AA$21="Muy Alta",'Mapa final'!$AC$21="Menor"),CONCATENATE("R1C",'Mapa final'!$Q$21),"")</f>
        <v/>
      </c>
      <c r="R6" s="40" t="str">
        <f>IF(AND('Mapa final'!$AA$22="Muy Alta",'Mapa final'!$AC$22="Menor"),CONCATENATE("R1C",'Mapa final'!$Q$22),"")</f>
        <v/>
      </c>
      <c r="S6" s="40" t="e">
        <f>IF(AND('Mapa final'!#REF!="Muy Alta",'Mapa final'!#REF!="Menor"),CONCATENATE("R1C",'Mapa final'!#REF!),"")</f>
        <v>#REF!</v>
      </c>
      <c r="T6" s="40" t="e">
        <f>IF(AND('Mapa final'!#REF!="Muy Alta",'Mapa final'!#REF!="Menor"),CONCATENATE("R1C",'Mapa final'!#REF!),"")</f>
        <v>#REF!</v>
      </c>
      <c r="U6" s="41" t="e">
        <f>IF(AND('Mapa final'!#REF!="Muy Alta",'Mapa final'!#REF!="Menor"),CONCATENATE("R1C",'Mapa final'!#REF!),"")</f>
        <v>#REF!</v>
      </c>
      <c r="V6" s="39" t="str">
        <f>IF(AND('Mapa final'!$AA$20="Muy Alta",'Mapa final'!$AC$20="Moderado"),CONCATENATE("R1C",'Mapa final'!$Q$20),"")</f>
        <v/>
      </c>
      <c r="W6" s="40" t="str">
        <f>IF(AND('Mapa final'!$AA$21="Muy Alta",'Mapa final'!$AC$21="Moderado"),CONCATENATE("R1C",'Mapa final'!$Q$21),"")</f>
        <v/>
      </c>
      <c r="X6" s="40" t="str">
        <f>IF(AND('Mapa final'!$AA$22="Muy Alta",'Mapa final'!$AC$22="Moderado"),CONCATENATE("R1C",'Mapa final'!$Q$22),"")</f>
        <v/>
      </c>
      <c r="Y6" s="40" t="e">
        <f>IF(AND('Mapa final'!#REF!="Muy Alta",'Mapa final'!#REF!="Moderado"),CONCATENATE("R1C",'Mapa final'!#REF!),"")</f>
        <v>#REF!</v>
      </c>
      <c r="Z6" s="40" t="e">
        <f>IF(AND('Mapa final'!#REF!="Muy Alta",'Mapa final'!#REF!="Moderado"),CONCATENATE("R1C",'Mapa final'!#REF!),"")</f>
        <v>#REF!</v>
      </c>
      <c r="AA6" s="41" t="e">
        <f>IF(AND('Mapa final'!#REF!="Muy Alta",'Mapa final'!#REF!="Moderado"),CONCATENATE("R1C",'Mapa final'!#REF!),"")</f>
        <v>#REF!</v>
      </c>
      <c r="AB6" s="39" t="str">
        <f>IF(AND('Mapa final'!$AA$20="Muy Alta",'Mapa final'!$AC$20="Mayor"),CONCATENATE("R1C",'Mapa final'!$Q$20),"")</f>
        <v/>
      </c>
      <c r="AC6" s="40" t="str">
        <f>IF(AND('Mapa final'!$AA$21="Muy Alta",'Mapa final'!$AC$21="Mayor"),CONCATENATE("R1C",'Mapa final'!$Q$21),"")</f>
        <v/>
      </c>
      <c r="AD6" s="40" t="str">
        <f>IF(AND('Mapa final'!$AA$22="Muy Alta",'Mapa final'!$AC$22="Mayor"),CONCATENATE("R1C",'Mapa final'!$Q$22),"")</f>
        <v/>
      </c>
      <c r="AE6" s="40" t="e">
        <f>IF(AND('Mapa final'!#REF!="Muy Alta",'Mapa final'!#REF!="Mayor"),CONCATENATE("R1C",'Mapa final'!#REF!),"")</f>
        <v>#REF!</v>
      </c>
      <c r="AF6" s="40" t="e">
        <f>IF(AND('Mapa final'!#REF!="Muy Alta",'Mapa final'!#REF!="Mayor"),CONCATENATE("R1C",'Mapa final'!#REF!),"")</f>
        <v>#REF!</v>
      </c>
      <c r="AG6" s="41" t="e">
        <f>IF(AND('Mapa final'!#REF!="Muy Alta",'Mapa final'!#REF!="Mayor"),CONCATENATE("R1C",'Mapa final'!#REF!),"")</f>
        <v>#REF!</v>
      </c>
      <c r="AH6" s="42" t="str">
        <f>IF(AND('Mapa final'!$AA$20="Muy Alta",'Mapa final'!$AC$20="Catastrófico"),CONCATENATE("R1C",'Mapa final'!$Q$20),"")</f>
        <v/>
      </c>
      <c r="AI6" s="43" t="str">
        <f>IF(AND('Mapa final'!$AA$21="Muy Alta",'Mapa final'!$AC$21="Catastrófico"),CONCATENATE("R1C",'Mapa final'!$Q$21),"")</f>
        <v/>
      </c>
      <c r="AJ6" s="43" t="str">
        <f>IF(AND('Mapa final'!$AA$22="Muy Alta",'Mapa final'!$AC$22="Catastrófico"),CONCATENATE("R1C",'Mapa final'!$Q$22),"")</f>
        <v/>
      </c>
      <c r="AK6" s="43" t="e">
        <f>IF(AND('Mapa final'!#REF!="Muy Alta",'Mapa final'!#REF!="Catastrófico"),CONCATENATE("R1C",'Mapa final'!#REF!),"")</f>
        <v>#REF!</v>
      </c>
      <c r="AL6" s="43" t="e">
        <f>IF(AND('Mapa final'!#REF!="Muy Alta",'Mapa final'!#REF!="Catastrófico"),CONCATENATE("R1C",'Mapa final'!#REF!),"")</f>
        <v>#REF!</v>
      </c>
      <c r="AM6" s="44" t="e">
        <f>IF(AND('Mapa final'!#REF!="Muy Alta",'Mapa final'!#REF!="Catastrófico"),CONCATENATE("R1C",'Mapa final'!#REF!),"")</f>
        <v>#REF!</v>
      </c>
      <c r="AN6" s="76"/>
      <c r="AO6" s="503" t="s">
        <v>79</v>
      </c>
      <c r="AP6" s="504"/>
      <c r="AQ6" s="504"/>
      <c r="AR6" s="504"/>
      <c r="AS6" s="504"/>
      <c r="AT6" s="505"/>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row>
    <row r="7" spans="1:91" ht="15" customHeight="1" x14ac:dyDescent="0.25">
      <c r="A7" s="76"/>
      <c r="B7" s="445"/>
      <c r="C7" s="445"/>
      <c r="D7" s="446"/>
      <c r="E7" s="486"/>
      <c r="F7" s="487"/>
      <c r="G7" s="487"/>
      <c r="H7" s="487"/>
      <c r="I7" s="488"/>
      <c r="J7" s="45" t="str">
        <f>IF(AND('Mapa final'!$AA$23="Muy Alta",'Mapa final'!$AC$23="Leve"),CONCATENATE("R2C",'Mapa final'!$Q$23),"")</f>
        <v/>
      </c>
      <c r="K7" s="46" t="e">
        <f>IF(AND('Mapa final'!#REF!="Muy Alta",'Mapa final'!#REF!="Leve"),CONCATENATE("R2C",'Mapa final'!#REF!),"")</f>
        <v>#REF!</v>
      </c>
      <c r="L7" s="46" t="e">
        <f>IF(AND('Mapa final'!#REF!="Muy Alta",'Mapa final'!#REF!="Leve"),CONCATENATE("R2C",'Mapa final'!#REF!),"")</f>
        <v>#REF!</v>
      </c>
      <c r="M7" s="46" t="e">
        <f>IF(AND('Mapa final'!#REF!="Muy Alta",'Mapa final'!#REF!="Leve"),CONCATENATE("R2C",'Mapa final'!#REF!),"")</f>
        <v>#REF!</v>
      </c>
      <c r="N7" s="46" t="e">
        <f>IF(AND('Mapa final'!#REF!="Muy Alta",'Mapa final'!#REF!="Leve"),CONCATENATE("R2C",'Mapa final'!#REF!),"")</f>
        <v>#REF!</v>
      </c>
      <c r="O7" s="47" t="e">
        <f>IF(AND('Mapa final'!#REF!="Muy Alta",'Mapa final'!#REF!="Leve"),CONCATENATE("R2C",'Mapa final'!#REF!),"")</f>
        <v>#REF!</v>
      </c>
      <c r="P7" s="45" t="str">
        <f>IF(AND('Mapa final'!$AA$23="Muy Alta",'Mapa final'!$AC$23="Menor"),CONCATENATE("R2C",'Mapa final'!$Q$23),"")</f>
        <v/>
      </c>
      <c r="Q7" s="46" t="e">
        <f>IF(AND('Mapa final'!#REF!="Muy Alta",'Mapa final'!#REF!="Menor"),CONCATENATE("R2C",'Mapa final'!#REF!),"")</f>
        <v>#REF!</v>
      </c>
      <c r="R7" s="46" t="e">
        <f>IF(AND('Mapa final'!#REF!="Muy Alta",'Mapa final'!#REF!="Menor"),CONCATENATE("R2C",'Mapa final'!#REF!),"")</f>
        <v>#REF!</v>
      </c>
      <c r="S7" s="46" t="e">
        <f>IF(AND('Mapa final'!#REF!="Muy Alta",'Mapa final'!#REF!="Menor"),CONCATENATE("R2C",'Mapa final'!#REF!),"")</f>
        <v>#REF!</v>
      </c>
      <c r="T7" s="46" t="e">
        <f>IF(AND('Mapa final'!#REF!="Muy Alta",'Mapa final'!#REF!="Menor"),CONCATENATE("R2C",'Mapa final'!#REF!),"")</f>
        <v>#REF!</v>
      </c>
      <c r="U7" s="47" t="e">
        <f>IF(AND('Mapa final'!#REF!="Muy Alta",'Mapa final'!#REF!="Menor"),CONCATENATE("R2C",'Mapa final'!#REF!),"")</f>
        <v>#REF!</v>
      </c>
      <c r="V7" s="45" t="str">
        <f>IF(AND('Mapa final'!$AA$23="Muy Alta",'Mapa final'!$AC$23="Moderado"),CONCATENATE("R2C",'Mapa final'!$Q$23),"")</f>
        <v/>
      </c>
      <c r="W7" s="46" t="e">
        <f>IF(AND('Mapa final'!#REF!="Muy Alta",'Mapa final'!#REF!="Moderado"),CONCATENATE("R2C",'Mapa final'!#REF!),"")</f>
        <v>#REF!</v>
      </c>
      <c r="X7" s="46" t="e">
        <f>IF(AND('Mapa final'!#REF!="Muy Alta",'Mapa final'!#REF!="Moderado"),CONCATENATE("R2C",'Mapa final'!#REF!),"")</f>
        <v>#REF!</v>
      </c>
      <c r="Y7" s="46" t="e">
        <f>IF(AND('Mapa final'!#REF!="Muy Alta",'Mapa final'!#REF!="Moderado"),CONCATENATE("R2C",'Mapa final'!#REF!),"")</f>
        <v>#REF!</v>
      </c>
      <c r="Z7" s="46" t="e">
        <f>IF(AND('Mapa final'!#REF!="Muy Alta",'Mapa final'!#REF!="Moderado"),CONCATENATE("R2C",'Mapa final'!#REF!),"")</f>
        <v>#REF!</v>
      </c>
      <c r="AA7" s="47" t="e">
        <f>IF(AND('Mapa final'!#REF!="Muy Alta",'Mapa final'!#REF!="Moderado"),CONCATENATE("R2C",'Mapa final'!#REF!),"")</f>
        <v>#REF!</v>
      </c>
      <c r="AB7" s="45" t="str">
        <f>IF(AND('Mapa final'!$AA$23="Muy Alta",'Mapa final'!$AC$23="Mayor"),CONCATENATE("R2C",'Mapa final'!$Q$23),"")</f>
        <v/>
      </c>
      <c r="AC7" s="46" t="e">
        <f>IF(AND('Mapa final'!#REF!="Muy Alta",'Mapa final'!#REF!="Mayor"),CONCATENATE("R2C",'Mapa final'!#REF!),"")</f>
        <v>#REF!</v>
      </c>
      <c r="AD7" s="46" t="e">
        <f>IF(AND('Mapa final'!#REF!="Muy Alta",'Mapa final'!#REF!="Mayor"),CONCATENATE("R2C",'Mapa final'!#REF!),"")</f>
        <v>#REF!</v>
      </c>
      <c r="AE7" s="46" t="e">
        <f>IF(AND('Mapa final'!#REF!="Muy Alta",'Mapa final'!#REF!="Mayor"),CONCATENATE("R2C",'Mapa final'!#REF!),"")</f>
        <v>#REF!</v>
      </c>
      <c r="AF7" s="46" t="e">
        <f>IF(AND('Mapa final'!#REF!="Muy Alta",'Mapa final'!#REF!="Mayor"),CONCATENATE("R2C",'Mapa final'!#REF!),"")</f>
        <v>#REF!</v>
      </c>
      <c r="AG7" s="47" t="e">
        <f>IF(AND('Mapa final'!#REF!="Muy Alta",'Mapa final'!#REF!="Mayor"),CONCATENATE("R2C",'Mapa final'!#REF!),"")</f>
        <v>#REF!</v>
      </c>
      <c r="AH7" s="48" t="str">
        <f>IF(AND('Mapa final'!$AA$23="Muy Alta",'Mapa final'!$AC$23="Catastrófico"),CONCATENATE("R2C",'Mapa final'!$Q$23),"")</f>
        <v/>
      </c>
      <c r="AI7" s="49" t="e">
        <f>IF(AND('Mapa final'!#REF!="Muy Alta",'Mapa final'!#REF!="Catastrófico"),CONCATENATE("R2C",'Mapa final'!#REF!),"")</f>
        <v>#REF!</v>
      </c>
      <c r="AJ7" s="49" t="e">
        <f>IF(AND('Mapa final'!#REF!="Muy Alta",'Mapa final'!#REF!="Catastrófico"),CONCATENATE("R2C",'Mapa final'!#REF!),"")</f>
        <v>#REF!</v>
      </c>
      <c r="AK7" s="49" t="e">
        <f>IF(AND('Mapa final'!#REF!="Muy Alta",'Mapa final'!#REF!="Catastrófico"),CONCATENATE("R2C",'Mapa final'!#REF!),"")</f>
        <v>#REF!</v>
      </c>
      <c r="AL7" s="49" t="e">
        <f>IF(AND('Mapa final'!#REF!="Muy Alta",'Mapa final'!#REF!="Catastrófico"),CONCATENATE("R2C",'Mapa final'!#REF!),"")</f>
        <v>#REF!</v>
      </c>
      <c r="AM7" s="50" t="e">
        <f>IF(AND('Mapa final'!#REF!="Muy Alta",'Mapa final'!#REF!="Catastrófico"),CONCATENATE("R2C",'Mapa final'!#REF!),"")</f>
        <v>#REF!</v>
      </c>
      <c r="AN7" s="76"/>
      <c r="AO7" s="506"/>
      <c r="AP7" s="507"/>
      <c r="AQ7" s="507"/>
      <c r="AR7" s="507"/>
      <c r="AS7" s="507"/>
      <c r="AT7" s="508"/>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row>
    <row r="8" spans="1:91" ht="15" customHeight="1" x14ac:dyDescent="0.25">
      <c r="A8" s="76"/>
      <c r="B8" s="445"/>
      <c r="C8" s="445"/>
      <c r="D8" s="446"/>
      <c r="E8" s="486"/>
      <c r="F8" s="487"/>
      <c r="G8" s="487"/>
      <c r="H8" s="487"/>
      <c r="I8" s="488"/>
      <c r="J8" s="45" t="str">
        <f>IF(AND('Mapa final'!$AA$24="Muy Alta",'Mapa final'!$AC$24="Leve"),CONCATENATE("R3C",'Mapa final'!$Q$24),"")</f>
        <v/>
      </c>
      <c r="K8" s="46" t="str">
        <f>IF(AND('Mapa final'!$AA$25="Muy Alta",'Mapa final'!$AC$25="Leve"),CONCATENATE("R3C",'Mapa final'!$Q$25),"")</f>
        <v/>
      </c>
      <c r="L8" s="46" t="str">
        <f>IF(AND('Mapa final'!$AA$26="Muy Alta",'Mapa final'!$AC$26="Leve"),CONCATENATE("R3C",'Mapa final'!$Q$26),"")</f>
        <v/>
      </c>
      <c r="M8" s="46" t="e">
        <f>IF(AND('Mapa final'!#REF!="Muy Alta",'Mapa final'!#REF!="Leve"),CONCATENATE("R3C",'Mapa final'!#REF!),"")</f>
        <v>#REF!</v>
      </c>
      <c r="N8" s="46" t="e">
        <f>IF(AND('Mapa final'!#REF!="Muy Alta",'Mapa final'!#REF!="Leve"),CONCATENATE("R3C",'Mapa final'!#REF!),"")</f>
        <v>#REF!</v>
      </c>
      <c r="O8" s="47" t="e">
        <f>IF(AND('Mapa final'!#REF!="Muy Alta",'Mapa final'!#REF!="Leve"),CONCATENATE("R3C",'Mapa final'!#REF!),"")</f>
        <v>#REF!</v>
      </c>
      <c r="P8" s="45" t="str">
        <f>IF(AND('Mapa final'!$AA$24="Muy Alta",'Mapa final'!$AC$24="Menor"),CONCATENATE("R3C",'Mapa final'!$Q$24),"")</f>
        <v/>
      </c>
      <c r="Q8" s="46" t="str">
        <f>IF(AND('Mapa final'!$AA$25="Muy Alta",'Mapa final'!$AC$25="Menor"),CONCATENATE("R3C",'Mapa final'!$Q$25),"")</f>
        <v/>
      </c>
      <c r="R8" s="46" t="str">
        <f>IF(AND('Mapa final'!$AA$26="Muy Alta",'Mapa final'!$AC$26="Menor"),CONCATENATE("R3C",'Mapa final'!$Q$26),"")</f>
        <v/>
      </c>
      <c r="S8" s="46" t="e">
        <f>IF(AND('Mapa final'!#REF!="Muy Alta",'Mapa final'!#REF!="Menor"),CONCATENATE("R3C",'Mapa final'!#REF!),"")</f>
        <v>#REF!</v>
      </c>
      <c r="T8" s="46" t="e">
        <f>IF(AND('Mapa final'!#REF!="Muy Alta",'Mapa final'!#REF!="Menor"),CONCATENATE("R3C",'Mapa final'!#REF!),"")</f>
        <v>#REF!</v>
      </c>
      <c r="U8" s="47" t="e">
        <f>IF(AND('Mapa final'!#REF!="Muy Alta",'Mapa final'!#REF!="Menor"),CONCATENATE("R3C",'Mapa final'!#REF!),"")</f>
        <v>#REF!</v>
      </c>
      <c r="V8" s="45" t="str">
        <f>IF(AND('Mapa final'!$AA$24="Muy Alta",'Mapa final'!$AC$24="Moderado"),CONCATENATE("R3C",'Mapa final'!$Q$24),"")</f>
        <v/>
      </c>
      <c r="W8" s="46" t="str">
        <f>IF(AND('Mapa final'!$AA$25="Muy Alta",'Mapa final'!$AC$25="Moderado"),CONCATENATE("R3C",'Mapa final'!$Q$25),"")</f>
        <v/>
      </c>
      <c r="X8" s="46" t="str">
        <f>IF(AND('Mapa final'!$AA$26="Muy Alta",'Mapa final'!$AC$26="Moderado"),CONCATENATE("R3C",'Mapa final'!$Q$26),"")</f>
        <v/>
      </c>
      <c r="Y8" s="46" t="e">
        <f>IF(AND('Mapa final'!#REF!="Muy Alta",'Mapa final'!#REF!="Moderado"),CONCATENATE("R3C",'Mapa final'!#REF!),"")</f>
        <v>#REF!</v>
      </c>
      <c r="Z8" s="46" t="e">
        <f>IF(AND('Mapa final'!#REF!="Muy Alta",'Mapa final'!#REF!="Moderado"),CONCATENATE("R3C",'Mapa final'!#REF!),"")</f>
        <v>#REF!</v>
      </c>
      <c r="AA8" s="47" t="e">
        <f>IF(AND('Mapa final'!#REF!="Muy Alta",'Mapa final'!#REF!="Moderado"),CONCATENATE("R3C",'Mapa final'!#REF!),"")</f>
        <v>#REF!</v>
      </c>
      <c r="AB8" s="45" t="str">
        <f>IF(AND('Mapa final'!$AA$24="Muy Alta",'Mapa final'!$AC$24="Mayor"),CONCATENATE("R3C",'Mapa final'!$Q$24),"")</f>
        <v/>
      </c>
      <c r="AC8" s="46" t="str">
        <f>IF(AND('Mapa final'!$AA$25="Muy Alta",'Mapa final'!$AC$25="Mayor"),CONCATENATE("R3C",'Mapa final'!$Q$25),"")</f>
        <v/>
      </c>
      <c r="AD8" s="46" t="str">
        <f>IF(AND('Mapa final'!$AA$26="Muy Alta",'Mapa final'!$AC$26="Mayor"),CONCATENATE("R3C",'Mapa final'!$Q$26),"")</f>
        <v/>
      </c>
      <c r="AE8" s="46" t="e">
        <f>IF(AND('Mapa final'!#REF!="Muy Alta",'Mapa final'!#REF!="Mayor"),CONCATENATE("R3C",'Mapa final'!#REF!),"")</f>
        <v>#REF!</v>
      </c>
      <c r="AF8" s="46" t="e">
        <f>IF(AND('Mapa final'!#REF!="Muy Alta",'Mapa final'!#REF!="Mayor"),CONCATENATE("R3C",'Mapa final'!#REF!),"")</f>
        <v>#REF!</v>
      </c>
      <c r="AG8" s="47" t="e">
        <f>IF(AND('Mapa final'!#REF!="Muy Alta",'Mapa final'!#REF!="Mayor"),CONCATENATE("R3C",'Mapa final'!#REF!),"")</f>
        <v>#REF!</v>
      </c>
      <c r="AH8" s="48" t="str">
        <f>IF(AND('Mapa final'!$AA$24="Muy Alta",'Mapa final'!$AC$24="Catastrófico"),CONCATENATE("R3C",'Mapa final'!$Q$24),"")</f>
        <v/>
      </c>
      <c r="AI8" s="49" t="str">
        <f>IF(AND('Mapa final'!$AA$25="Muy Alta",'Mapa final'!$AC$25="Catastrófico"),CONCATENATE("R3C",'Mapa final'!$Q$25),"")</f>
        <v/>
      </c>
      <c r="AJ8" s="49" t="str">
        <f>IF(AND('Mapa final'!$AA$26="Muy Alta",'Mapa final'!$AC$26="Catastrófico"),CONCATENATE("R3C",'Mapa final'!$Q$26),"")</f>
        <v/>
      </c>
      <c r="AK8" s="49" t="e">
        <f>IF(AND('Mapa final'!#REF!="Muy Alta",'Mapa final'!#REF!="Catastrófico"),CONCATENATE("R3C",'Mapa final'!#REF!),"")</f>
        <v>#REF!</v>
      </c>
      <c r="AL8" s="49" t="e">
        <f>IF(AND('Mapa final'!#REF!="Muy Alta",'Mapa final'!#REF!="Catastrófico"),CONCATENATE("R3C",'Mapa final'!#REF!),"")</f>
        <v>#REF!</v>
      </c>
      <c r="AM8" s="50" t="e">
        <f>IF(AND('Mapa final'!#REF!="Muy Alta",'Mapa final'!#REF!="Catastrófico"),CONCATENATE("R3C",'Mapa final'!#REF!),"")</f>
        <v>#REF!</v>
      </c>
      <c r="AN8" s="76"/>
      <c r="AO8" s="506"/>
      <c r="AP8" s="507"/>
      <c r="AQ8" s="507"/>
      <c r="AR8" s="507"/>
      <c r="AS8" s="507"/>
      <c r="AT8" s="508"/>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row>
    <row r="9" spans="1:91" ht="15" customHeight="1" x14ac:dyDescent="0.25">
      <c r="A9" s="76"/>
      <c r="B9" s="445"/>
      <c r="C9" s="445"/>
      <c r="D9" s="446"/>
      <c r="E9" s="486"/>
      <c r="F9" s="487"/>
      <c r="G9" s="487"/>
      <c r="H9" s="487"/>
      <c r="I9" s="488"/>
      <c r="J9" s="45" t="str">
        <f>IF(AND('Mapa final'!$AA$27="Muy Alta",'Mapa final'!$AC$27="Leve"),CONCATENATE("R4C",'Mapa final'!$Q$27),"")</f>
        <v/>
      </c>
      <c r="K9" s="46" t="str">
        <f>IF(AND('Mapa final'!$AA$29="Muy Alta",'Mapa final'!$AC$29="Leve"),CONCATENATE("R4C",'Mapa final'!$Q$29),"")</f>
        <v/>
      </c>
      <c r="L9" s="46" t="e">
        <f>IF(AND('Mapa final'!#REF!="Muy Alta",'Mapa final'!#REF!="Leve"),CONCATENATE("R4C",'Mapa final'!#REF!),"")</f>
        <v>#REF!</v>
      </c>
      <c r="M9" s="46" t="e">
        <f>IF(AND('Mapa final'!#REF!="Muy Alta",'Mapa final'!#REF!="Leve"),CONCATENATE("R4C",'Mapa final'!#REF!),"")</f>
        <v>#REF!</v>
      </c>
      <c r="N9" s="46" t="e">
        <f>IF(AND('Mapa final'!#REF!="Muy Alta",'Mapa final'!#REF!="Leve"),CONCATENATE("R4C",'Mapa final'!#REF!),"")</f>
        <v>#REF!</v>
      </c>
      <c r="O9" s="47" t="e">
        <f>IF(AND('Mapa final'!#REF!="Muy Alta",'Mapa final'!#REF!="Leve"),CONCATENATE("R4C",'Mapa final'!#REF!),"")</f>
        <v>#REF!</v>
      </c>
      <c r="P9" s="45" t="str">
        <f>IF(AND('Mapa final'!$AA$27="Muy Alta",'Mapa final'!$AC$27="Menor"),CONCATENATE("R4C",'Mapa final'!$Q$27),"")</f>
        <v/>
      </c>
      <c r="Q9" s="46" t="str">
        <f>IF(AND('Mapa final'!$AA$29="Muy Alta",'Mapa final'!$AC$29="Menor"),CONCATENATE("R4C",'Mapa final'!$Q$29),"")</f>
        <v/>
      </c>
      <c r="R9" s="46" t="e">
        <f>IF(AND('Mapa final'!#REF!="Muy Alta",'Mapa final'!#REF!="Menor"),CONCATENATE("R4C",'Mapa final'!#REF!),"")</f>
        <v>#REF!</v>
      </c>
      <c r="S9" s="46" t="e">
        <f>IF(AND('Mapa final'!#REF!="Muy Alta",'Mapa final'!#REF!="Menor"),CONCATENATE("R4C",'Mapa final'!#REF!),"")</f>
        <v>#REF!</v>
      </c>
      <c r="T9" s="46" t="e">
        <f>IF(AND('Mapa final'!#REF!="Muy Alta",'Mapa final'!#REF!="Menor"),CONCATENATE("R4C",'Mapa final'!#REF!),"")</f>
        <v>#REF!</v>
      </c>
      <c r="U9" s="47" t="e">
        <f>IF(AND('Mapa final'!#REF!="Muy Alta",'Mapa final'!#REF!="Menor"),CONCATENATE("R4C",'Mapa final'!#REF!),"")</f>
        <v>#REF!</v>
      </c>
      <c r="V9" s="45" t="str">
        <f>IF(AND('Mapa final'!$AA$27="Muy Alta",'Mapa final'!$AC$27="Moderado"),CONCATENATE("R4C",'Mapa final'!$Q$27),"")</f>
        <v/>
      </c>
      <c r="W9" s="46" t="str">
        <f>IF(AND('Mapa final'!$AA$29="Muy Alta",'Mapa final'!$AC$29="Moderado"),CONCATENATE("R4C",'Mapa final'!$Q$29),"")</f>
        <v/>
      </c>
      <c r="X9" s="46" t="e">
        <f>IF(AND('Mapa final'!#REF!="Muy Alta",'Mapa final'!#REF!="Moderado"),CONCATENATE("R4C",'Mapa final'!#REF!),"")</f>
        <v>#REF!</v>
      </c>
      <c r="Y9" s="46" t="e">
        <f>IF(AND('Mapa final'!#REF!="Muy Alta",'Mapa final'!#REF!="Moderado"),CONCATENATE("R4C",'Mapa final'!#REF!),"")</f>
        <v>#REF!</v>
      </c>
      <c r="Z9" s="46" t="e">
        <f>IF(AND('Mapa final'!#REF!="Muy Alta",'Mapa final'!#REF!="Moderado"),CONCATENATE("R4C",'Mapa final'!#REF!),"")</f>
        <v>#REF!</v>
      </c>
      <c r="AA9" s="47" t="e">
        <f>IF(AND('Mapa final'!#REF!="Muy Alta",'Mapa final'!#REF!="Moderado"),CONCATENATE("R4C",'Mapa final'!#REF!),"")</f>
        <v>#REF!</v>
      </c>
      <c r="AB9" s="45" t="str">
        <f>IF(AND('Mapa final'!$AA$27="Muy Alta",'Mapa final'!$AC$27="Mayor"),CONCATENATE("R4C",'Mapa final'!$Q$27),"")</f>
        <v/>
      </c>
      <c r="AC9" s="46" t="str">
        <f>IF(AND('Mapa final'!$AA$29="Muy Alta",'Mapa final'!$AC$29="Mayor"),CONCATENATE("R4C",'Mapa final'!$Q$29),"")</f>
        <v/>
      </c>
      <c r="AD9" s="46" t="e">
        <f>IF(AND('Mapa final'!#REF!="Muy Alta",'Mapa final'!#REF!="Mayor"),CONCATENATE("R4C",'Mapa final'!#REF!),"")</f>
        <v>#REF!</v>
      </c>
      <c r="AE9" s="46" t="e">
        <f>IF(AND('Mapa final'!#REF!="Muy Alta",'Mapa final'!#REF!="Mayor"),CONCATENATE("R4C",'Mapa final'!#REF!),"")</f>
        <v>#REF!</v>
      </c>
      <c r="AF9" s="46" t="e">
        <f>IF(AND('Mapa final'!#REF!="Muy Alta",'Mapa final'!#REF!="Mayor"),CONCATENATE("R4C",'Mapa final'!#REF!),"")</f>
        <v>#REF!</v>
      </c>
      <c r="AG9" s="47" t="e">
        <f>IF(AND('Mapa final'!#REF!="Muy Alta",'Mapa final'!#REF!="Mayor"),CONCATENATE("R4C",'Mapa final'!#REF!),"")</f>
        <v>#REF!</v>
      </c>
      <c r="AH9" s="48" t="str">
        <f>IF(AND('Mapa final'!$AA$27="Muy Alta",'Mapa final'!$AC$27="Catastrófico"),CONCATENATE("R4C",'Mapa final'!$Q$27),"")</f>
        <v/>
      </c>
      <c r="AI9" s="49" t="str">
        <f>IF(AND('Mapa final'!$AA$29="Muy Alta",'Mapa final'!$AC$29="Catastrófico"),CONCATENATE("R4C",'Mapa final'!$Q$29),"")</f>
        <v/>
      </c>
      <c r="AJ9" s="49" t="e">
        <f>IF(AND('Mapa final'!#REF!="Muy Alta",'Mapa final'!#REF!="Catastrófico"),CONCATENATE("R4C",'Mapa final'!#REF!),"")</f>
        <v>#REF!</v>
      </c>
      <c r="AK9" s="49" t="e">
        <f>IF(AND('Mapa final'!#REF!="Muy Alta",'Mapa final'!#REF!="Catastrófico"),CONCATENATE("R4C",'Mapa final'!#REF!),"")</f>
        <v>#REF!</v>
      </c>
      <c r="AL9" s="49" t="e">
        <f>IF(AND('Mapa final'!#REF!="Muy Alta",'Mapa final'!#REF!="Catastrófico"),CONCATENATE("R4C",'Mapa final'!#REF!),"")</f>
        <v>#REF!</v>
      </c>
      <c r="AM9" s="50" t="e">
        <f>IF(AND('Mapa final'!#REF!="Muy Alta",'Mapa final'!#REF!="Catastrófico"),CONCATENATE("R4C",'Mapa final'!#REF!),"")</f>
        <v>#REF!</v>
      </c>
      <c r="AN9" s="76"/>
      <c r="AO9" s="506"/>
      <c r="AP9" s="507"/>
      <c r="AQ9" s="507"/>
      <c r="AR9" s="507"/>
      <c r="AS9" s="507"/>
      <c r="AT9" s="508"/>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row>
    <row r="10" spans="1:91" ht="15" customHeight="1" x14ac:dyDescent="0.25">
      <c r="A10" s="76"/>
      <c r="B10" s="445"/>
      <c r="C10" s="445"/>
      <c r="D10" s="446"/>
      <c r="E10" s="486"/>
      <c r="F10" s="487"/>
      <c r="G10" s="487"/>
      <c r="H10" s="487"/>
      <c r="I10" s="488"/>
      <c r="J10" s="45" t="str">
        <f>IF(AND('Mapa final'!$AA$30="Muy Alta",'Mapa final'!$AC$30="Leve"),CONCATENATE("R5C",'Mapa final'!$Q$30),"")</f>
        <v/>
      </c>
      <c r="K10" s="46" t="e">
        <f>IF(AND('Mapa final'!#REF!="Muy Alta",'Mapa final'!#REF!="Leve"),CONCATENATE("R5C",'Mapa final'!#REF!),"")</f>
        <v>#REF!</v>
      </c>
      <c r="L10" s="46" t="e">
        <f>IF(AND('Mapa final'!#REF!="Muy Alta",'Mapa final'!#REF!="Leve"),CONCATENATE("R5C",'Mapa final'!#REF!),"")</f>
        <v>#REF!</v>
      </c>
      <c r="M10" s="46" t="e">
        <f>IF(AND('Mapa final'!#REF!="Muy Alta",'Mapa final'!#REF!="Leve"),CONCATENATE("R5C",'Mapa final'!#REF!),"")</f>
        <v>#REF!</v>
      </c>
      <c r="N10" s="46" t="e">
        <f>IF(AND('Mapa final'!#REF!="Muy Alta",'Mapa final'!#REF!="Leve"),CONCATENATE("R5C",'Mapa final'!#REF!),"")</f>
        <v>#REF!</v>
      </c>
      <c r="O10" s="47" t="e">
        <f>IF(AND('Mapa final'!#REF!="Muy Alta",'Mapa final'!#REF!="Leve"),CONCATENATE("R5C",'Mapa final'!#REF!),"")</f>
        <v>#REF!</v>
      </c>
      <c r="P10" s="45" t="str">
        <f>IF(AND('Mapa final'!$AA$30="Muy Alta",'Mapa final'!$AC$30="Menor"),CONCATENATE("R5C",'Mapa final'!$Q$30),"")</f>
        <v/>
      </c>
      <c r="Q10" s="46" t="e">
        <f>IF(AND('Mapa final'!#REF!="Muy Alta",'Mapa final'!#REF!="Menor"),CONCATENATE("R5C",'Mapa final'!#REF!),"")</f>
        <v>#REF!</v>
      </c>
      <c r="R10" s="46" t="e">
        <f>IF(AND('Mapa final'!#REF!="Muy Alta",'Mapa final'!#REF!="Menor"),CONCATENATE("R5C",'Mapa final'!#REF!),"")</f>
        <v>#REF!</v>
      </c>
      <c r="S10" s="46" t="e">
        <f>IF(AND('Mapa final'!#REF!="Muy Alta",'Mapa final'!#REF!="Menor"),CONCATENATE("R5C",'Mapa final'!#REF!),"")</f>
        <v>#REF!</v>
      </c>
      <c r="T10" s="46" t="e">
        <f>IF(AND('Mapa final'!#REF!="Muy Alta",'Mapa final'!#REF!="Menor"),CONCATENATE("R5C",'Mapa final'!#REF!),"")</f>
        <v>#REF!</v>
      </c>
      <c r="U10" s="47" t="e">
        <f>IF(AND('Mapa final'!#REF!="Muy Alta",'Mapa final'!#REF!="Menor"),CONCATENATE("R5C",'Mapa final'!#REF!),"")</f>
        <v>#REF!</v>
      </c>
      <c r="V10" s="45" t="str">
        <f>IF(AND('Mapa final'!$AA$30="Muy Alta",'Mapa final'!$AC$30="Moderado"),CONCATENATE("R5C",'Mapa final'!$Q$30),"")</f>
        <v/>
      </c>
      <c r="W10" s="46" t="e">
        <f>IF(AND('Mapa final'!#REF!="Muy Alta",'Mapa final'!#REF!="Moderado"),CONCATENATE("R5C",'Mapa final'!#REF!),"")</f>
        <v>#REF!</v>
      </c>
      <c r="X10" s="46" t="e">
        <f>IF(AND('Mapa final'!#REF!="Muy Alta",'Mapa final'!#REF!="Moderado"),CONCATENATE("R5C",'Mapa final'!#REF!),"")</f>
        <v>#REF!</v>
      </c>
      <c r="Y10" s="46" t="e">
        <f>IF(AND('Mapa final'!#REF!="Muy Alta",'Mapa final'!#REF!="Moderado"),CONCATENATE("R5C",'Mapa final'!#REF!),"")</f>
        <v>#REF!</v>
      </c>
      <c r="Z10" s="46" t="e">
        <f>IF(AND('Mapa final'!#REF!="Muy Alta",'Mapa final'!#REF!="Moderado"),CONCATENATE("R5C",'Mapa final'!#REF!),"")</f>
        <v>#REF!</v>
      </c>
      <c r="AA10" s="47" t="e">
        <f>IF(AND('Mapa final'!#REF!="Muy Alta",'Mapa final'!#REF!="Moderado"),CONCATENATE("R5C",'Mapa final'!#REF!),"")</f>
        <v>#REF!</v>
      </c>
      <c r="AB10" s="45" t="str">
        <f>IF(AND('Mapa final'!$AA$30="Muy Alta",'Mapa final'!$AC$30="Mayor"),CONCATENATE("R5C",'Mapa final'!$Q$30),"")</f>
        <v/>
      </c>
      <c r="AC10" s="46" t="e">
        <f>IF(AND('Mapa final'!#REF!="Muy Alta",'Mapa final'!#REF!="Mayor"),CONCATENATE("R5C",'Mapa final'!#REF!),"")</f>
        <v>#REF!</v>
      </c>
      <c r="AD10" s="46" t="e">
        <f>IF(AND('Mapa final'!#REF!="Muy Alta",'Mapa final'!#REF!="Mayor"),CONCATENATE("R5C",'Mapa final'!#REF!),"")</f>
        <v>#REF!</v>
      </c>
      <c r="AE10" s="46" t="e">
        <f>IF(AND('Mapa final'!#REF!="Muy Alta",'Mapa final'!#REF!="Mayor"),CONCATENATE("R5C",'Mapa final'!#REF!),"")</f>
        <v>#REF!</v>
      </c>
      <c r="AF10" s="46" t="e">
        <f>IF(AND('Mapa final'!#REF!="Muy Alta",'Mapa final'!#REF!="Mayor"),CONCATENATE("R5C",'Mapa final'!#REF!),"")</f>
        <v>#REF!</v>
      </c>
      <c r="AG10" s="47" t="e">
        <f>IF(AND('Mapa final'!#REF!="Muy Alta",'Mapa final'!#REF!="Mayor"),CONCATENATE("R5C",'Mapa final'!#REF!),"")</f>
        <v>#REF!</v>
      </c>
      <c r="AH10" s="48" t="str">
        <f>IF(AND('Mapa final'!$AA$30="Muy Alta",'Mapa final'!$AC$30="Catastrófico"),CONCATENATE("R5C",'Mapa final'!$Q$30),"")</f>
        <v/>
      </c>
      <c r="AI10" s="49" t="e">
        <f>IF(AND('Mapa final'!#REF!="Muy Alta",'Mapa final'!#REF!="Catastrófico"),CONCATENATE("R5C",'Mapa final'!#REF!),"")</f>
        <v>#REF!</v>
      </c>
      <c r="AJ10" s="49" t="e">
        <f>IF(AND('Mapa final'!#REF!="Muy Alta",'Mapa final'!#REF!="Catastrófico"),CONCATENATE("R5C",'Mapa final'!#REF!),"")</f>
        <v>#REF!</v>
      </c>
      <c r="AK10" s="49" t="e">
        <f>IF(AND('Mapa final'!#REF!="Muy Alta",'Mapa final'!#REF!="Catastrófico"),CONCATENATE("R5C",'Mapa final'!#REF!),"")</f>
        <v>#REF!</v>
      </c>
      <c r="AL10" s="49" t="e">
        <f>IF(AND('Mapa final'!#REF!="Muy Alta",'Mapa final'!#REF!="Catastrófico"),CONCATENATE("R5C",'Mapa final'!#REF!),"")</f>
        <v>#REF!</v>
      </c>
      <c r="AM10" s="50" t="e">
        <f>IF(AND('Mapa final'!#REF!="Muy Alta",'Mapa final'!#REF!="Catastrófico"),CONCATENATE("R5C",'Mapa final'!#REF!),"")</f>
        <v>#REF!</v>
      </c>
      <c r="AN10" s="76"/>
      <c r="AO10" s="506"/>
      <c r="AP10" s="507"/>
      <c r="AQ10" s="507"/>
      <c r="AR10" s="507"/>
      <c r="AS10" s="507"/>
      <c r="AT10" s="508"/>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row>
    <row r="11" spans="1:91" ht="15" customHeight="1" x14ac:dyDescent="0.25">
      <c r="A11" s="76"/>
      <c r="B11" s="445"/>
      <c r="C11" s="445"/>
      <c r="D11" s="446"/>
      <c r="E11" s="486"/>
      <c r="F11" s="487"/>
      <c r="G11" s="487"/>
      <c r="H11" s="487"/>
      <c r="I11" s="488"/>
      <c r="J11" s="45" t="e">
        <f>IF(AND('Mapa final'!#REF!="Muy Alta",'Mapa final'!#REF!="Leve"),CONCATENATE("R6C",'Mapa final'!#REF!),"")</f>
        <v>#REF!</v>
      </c>
      <c r="K11" s="46" t="e">
        <f>IF(AND('Mapa final'!#REF!="Muy Alta",'Mapa final'!#REF!="Leve"),CONCATENATE("R6C",'Mapa final'!#REF!),"")</f>
        <v>#REF!</v>
      </c>
      <c r="L11" s="46" t="e">
        <f>IF(AND('Mapa final'!#REF!="Muy Alta",'Mapa final'!#REF!="Leve"),CONCATENATE("R6C",'Mapa final'!#REF!),"")</f>
        <v>#REF!</v>
      </c>
      <c r="M11" s="46" t="e">
        <f>IF(AND('Mapa final'!#REF!="Muy Alta",'Mapa final'!#REF!="Leve"),CONCATENATE("R6C",'Mapa final'!#REF!),"")</f>
        <v>#REF!</v>
      </c>
      <c r="N11" s="46" t="e">
        <f>IF(AND('Mapa final'!#REF!="Muy Alta",'Mapa final'!#REF!="Leve"),CONCATENATE("R6C",'Mapa final'!#REF!),"")</f>
        <v>#REF!</v>
      </c>
      <c r="O11" s="47" t="e">
        <f>IF(AND('Mapa final'!#REF!="Muy Alta",'Mapa final'!#REF!="Leve"),CONCATENATE("R6C",'Mapa final'!#REF!),"")</f>
        <v>#REF!</v>
      </c>
      <c r="P11" s="45" t="e">
        <f>IF(AND('Mapa final'!#REF!="Muy Alta",'Mapa final'!#REF!="Menor"),CONCATENATE("R6C",'Mapa final'!#REF!),"")</f>
        <v>#REF!</v>
      </c>
      <c r="Q11" s="46" t="e">
        <f>IF(AND('Mapa final'!#REF!="Muy Alta",'Mapa final'!#REF!="Menor"),CONCATENATE("R6C",'Mapa final'!#REF!),"")</f>
        <v>#REF!</v>
      </c>
      <c r="R11" s="46" t="e">
        <f>IF(AND('Mapa final'!#REF!="Muy Alta",'Mapa final'!#REF!="Menor"),CONCATENATE("R6C",'Mapa final'!#REF!),"")</f>
        <v>#REF!</v>
      </c>
      <c r="S11" s="46" t="e">
        <f>IF(AND('Mapa final'!#REF!="Muy Alta",'Mapa final'!#REF!="Menor"),CONCATENATE("R6C",'Mapa final'!#REF!),"")</f>
        <v>#REF!</v>
      </c>
      <c r="T11" s="46" t="e">
        <f>IF(AND('Mapa final'!#REF!="Muy Alta",'Mapa final'!#REF!="Menor"),CONCATENATE("R6C",'Mapa final'!#REF!),"")</f>
        <v>#REF!</v>
      </c>
      <c r="U11" s="47" t="e">
        <f>IF(AND('Mapa final'!#REF!="Muy Alta",'Mapa final'!#REF!="Menor"),CONCATENATE("R6C",'Mapa final'!#REF!),"")</f>
        <v>#REF!</v>
      </c>
      <c r="V11" s="45" t="e">
        <f>IF(AND('Mapa final'!#REF!="Muy Alta",'Mapa final'!#REF!="Moderado"),CONCATENATE("R6C",'Mapa final'!#REF!),"")</f>
        <v>#REF!</v>
      </c>
      <c r="W11" s="46" t="e">
        <f>IF(AND('Mapa final'!#REF!="Muy Alta",'Mapa final'!#REF!="Moderado"),CONCATENATE("R6C",'Mapa final'!#REF!),"")</f>
        <v>#REF!</v>
      </c>
      <c r="X11" s="46" t="e">
        <f>IF(AND('Mapa final'!#REF!="Muy Alta",'Mapa final'!#REF!="Moderado"),CONCATENATE("R6C",'Mapa final'!#REF!),"")</f>
        <v>#REF!</v>
      </c>
      <c r="Y11" s="46" t="e">
        <f>IF(AND('Mapa final'!#REF!="Muy Alta",'Mapa final'!#REF!="Moderado"),CONCATENATE("R6C",'Mapa final'!#REF!),"")</f>
        <v>#REF!</v>
      </c>
      <c r="Z11" s="46" t="e">
        <f>IF(AND('Mapa final'!#REF!="Muy Alta",'Mapa final'!#REF!="Moderado"),CONCATENATE("R6C",'Mapa final'!#REF!),"")</f>
        <v>#REF!</v>
      </c>
      <c r="AA11" s="47" t="e">
        <f>IF(AND('Mapa final'!#REF!="Muy Alta",'Mapa final'!#REF!="Moderado"),CONCATENATE("R6C",'Mapa final'!#REF!),"")</f>
        <v>#REF!</v>
      </c>
      <c r="AB11" s="45" t="e">
        <f>IF(AND('Mapa final'!#REF!="Muy Alta",'Mapa final'!#REF!="Mayor"),CONCATENATE("R6C",'Mapa final'!#REF!),"")</f>
        <v>#REF!</v>
      </c>
      <c r="AC11" s="46" t="e">
        <f>IF(AND('Mapa final'!#REF!="Muy Alta",'Mapa final'!#REF!="Mayor"),CONCATENATE("R6C",'Mapa final'!#REF!),"")</f>
        <v>#REF!</v>
      </c>
      <c r="AD11" s="46" t="e">
        <f>IF(AND('Mapa final'!#REF!="Muy Alta",'Mapa final'!#REF!="Mayor"),CONCATENATE("R6C",'Mapa final'!#REF!),"")</f>
        <v>#REF!</v>
      </c>
      <c r="AE11" s="46" t="e">
        <f>IF(AND('Mapa final'!#REF!="Muy Alta",'Mapa final'!#REF!="Mayor"),CONCATENATE("R6C",'Mapa final'!#REF!),"")</f>
        <v>#REF!</v>
      </c>
      <c r="AF11" s="46" t="e">
        <f>IF(AND('Mapa final'!#REF!="Muy Alta",'Mapa final'!#REF!="Mayor"),CONCATENATE("R6C",'Mapa final'!#REF!),"")</f>
        <v>#REF!</v>
      </c>
      <c r="AG11" s="47" t="e">
        <f>IF(AND('Mapa final'!#REF!="Muy Alta",'Mapa final'!#REF!="Mayor"),CONCATENATE("R6C",'Mapa final'!#REF!),"")</f>
        <v>#REF!</v>
      </c>
      <c r="AH11" s="48" t="e">
        <f>IF(AND('Mapa final'!#REF!="Muy Alta",'Mapa final'!#REF!="Catastrófico"),CONCATENATE("R6C",'Mapa final'!#REF!),"")</f>
        <v>#REF!</v>
      </c>
      <c r="AI11" s="49" t="e">
        <f>IF(AND('Mapa final'!#REF!="Muy Alta",'Mapa final'!#REF!="Catastrófico"),CONCATENATE("R6C",'Mapa final'!#REF!),"")</f>
        <v>#REF!</v>
      </c>
      <c r="AJ11" s="49" t="e">
        <f>IF(AND('Mapa final'!#REF!="Muy Alta",'Mapa final'!#REF!="Catastrófico"),CONCATENATE("R6C",'Mapa final'!#REF!),"")</f>
        <v>#REF!</v>
      </c>
      <c r="AK11" s="49" t="e">
        <f>IF(AND('Mapa final'!#REF!="Muy Alta",'Mapa final'!#REF!="Catastrófico"),CONCATENATE("R6C",'Mapa final'!#REF!),"")</f>
        <v>#REF!</v>
      </c>
      <c r="AL11" s="49" t="e">
        <f>IF(AND('Mapa final'!#REF!="Muy Alta",'Mapa final'!#REF!="Catastrófico"),CONCATENATE("R6C",'Mapa final'!#REF!),"")</f>
        <v>#REF!</v>
      </c>
      <c r="AM11" s="50" t="e">
        <f>IF(AND('Mapa final'!#REF!="Muy Alta",'Mapa final'!#REF!="Catastrófico"),CONCATENATE("R6C",'Mapa final'!#REF!),"")</f>
        <v>#REF!</v>
      </c>
      <c r="AN11" s="76"/>
      <c r="AO11" s="506"/>
      <c r="AP11" s="507"/>
      <c r="AQ11" s="507"/>
      <c r="AR11" s="507"/>
      <c r="AS11" s="507"/>
      <c r="AT11" s="508"/>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row>
    <row r="12" spans="1:91" ht="15" customHeight="1" x14ac:dyDescent="0.25">
      <c r="A12" s="76"/>
      <c r="B12" s="445"/>
      <c r="C12" s="445"/>
      <c r="D12" s="446"/>
      <c r="E12" s="486"/>
      <c r="F12" s="487"/>
      <c r="G12" s="487"/>
      <c r="H12" s="487"/>
      <c r="I12" s="488"/>
      <c r="J12" s="45" t="e">
        <f>IF(AND('Mapa final'!#REF!="Muy Alta",'Mapa final'!#REF!="Leve"),CONCATENATE("R7C",'Mapa final'!#REF!),"")</f>
        <v>#REF!</v>
      </c>
      <c r="K12" s="46" t="e">
        <f>IF(AND('Mapa final'!#REF!="Muy Alta",'Mapa final'!#REF!="Leve"),CONCATENATE("R7C",'Mapa final'!#REF!),"")</f>
        <v>#REF!</v>
      </c>
      <c r="L12" s="46" t="e">
        <f>IF(AND('Mapa final'!#REF!="Muy Alta",'Mapa final'!#REF!="Leve"),CONCATENATE("R7C",'Mapa final'!#REF!),"")</f>
        <v>#REF!</v>
      </c>
      <c r="M12" s="46" t="e">
        <f>IF(AND('Mapa final'!#REF!="Muy Alta",'Mapa final'!#REF!="Leve"),CONCATENATE("R7C",'Mapa final'!#REF!),"")</f>
        <v>#REF!</v>
      </c>
      <c r="N12" s="46" t="e">
        <f>IF(AND('Mapa final'!#REF!="Muy Alta",'Mapa final'!#REF!="Leve"),CONCATENATE("R7C",'Mapa final'!#REF!),"")</f>
        <v>#REF!</v>
      </c>
      <c r="O12" s="47" t="e">
        <f>IF(AND('Mapa final'!#REF!="Muy Alta",'Mapa final'!#REF!="Leve"),CONCATENATE("R7C",'Mapa final'!#REF!),"")</f>
        <v>#REF!</v>
      </c>
      <c r="P12" s="45" t="e">
        <f>IF(AND('Mapa final'!#REF!="Muy Alta",'Mapa final'!#REF!="Menor"),CONCATENATE("R7C",'Mapa final'!#REF!),"")</f>
        <v>#REF!</v>
      </c>
      <c r="Q12" s="46" t="e">
        <f>IF(AND('Mapa final'!#REF!="Muy Alta",'Mapa final'!#REF!="Menor"),CONCATENATE("R7C",'Mapa final'!#REF!),"")</f>
        <v>#REF!</v>
      </c>
      <c r="R12" s="46" t="e">
        <f>IF(AND('Mapa final'!#REF!="Muy Alta",'Mapa final'!#REF!="Menor"),CONCATENATE("R7C",'Mapa final'!#REF!),"")</f>
        <v>#REF!</v>
      </c>
      <c r="S12" s="46" t="e">
        <f>IF(AND('Mapa final'!#REF!="Muy Alta",'Mapa final'!#REF!="Menor"),CONCATENATE("R7C",'Mapa final'!#REF!),"")</f>
        <v>#REF!</v>
      </c>
      <c r="T12" s="46" t="e">
        <f>IF(AND('Mapa final'!#REF!="Muy Alta",'Mapa final'!#REF!="Menor"),CONCATENATE("R7C",'Mapa final'!#REF!),"")</f>
        <v>#REF!</v>
      </c>
      <c r="U12" s="47" t="e">
        <f>IF(AND('Mapa final'!#REF!="Muy Alta",'Mapa final'!#REF!="Menor"),CONCATENATE("R7C",'Mapa final'!#REF!),"")</f>
        <v>#REF!</v>
      </c>
      <c r="V12" s="45" t="e">
        <f>IF(AND('Mapa final'!#REF!="Muy Alta",'Mapa final'!#REF!="Moderado"),CONCATENATE("R7C",'Mapa final'!#REF!),"")</f>
        <v>#REF!</v>
      </c>
      <c r="W12" s="46" t="e">
        <f>IF(AND('Mapa final'!#REF!="Muy Alta",'Mapa final'!#REF!="Moderado"),CONCATENATE("R7C",'Mapa final'!#REF!),"")</f>
        <v>#REF!</v>
      </c>
      <c r="X12" s="46" t="e">
        <f>IF(AND('Mapa final'!#REF!="Muy Alta",'Mapa final'!#REF!="Moderado"),CONCATENATE("R7C",'Mapa final'!#REF!),"")</f>
        <v>#REF!</v>
      </c>
      <c r="Y12" s="46" t="e">
        <f>IF(AND('Mapa final'!#REF!="Muy Alta",'Mapa final'!#REF!="Moderado"),CONCATENATE("R7C",'Mapa final'!#REF!),"")</f>
        <v>#REF!</v>
      </c>
      <c r="Z12" s="46" t="e">
        <f>IF(AND('Mapa final'!#REF!="Muy Alta",'Mapa final'!#REF!="Moderado"),CONCATENATE("R7C",'Mapa final'!#REF!),"")</f>
        <v>#REF!</v>
      </c>
      <c r="AA12" s="47" t="e">
        <f>IF(AND('Mapa final'!#REF!="Muy Alta",'Mapa final'!#REF!="Moderado"),CONCATENATE("R7C",'Mapa final'!#REF!),"")</f>
        <v>#REF!</v>
      </c>
      <c r="AB12" s="45" t="e">
        <f>IF(AND('Mapa final'!#REF!="Muy Alta",'Mapa final'!#REF!="Mayor"),CONCATENATE("R7C",'Mapa final'!#REF!),"")</f>
        <v>#REF!</v>
      </c>
      <c r="AC12" s="46" t="e">
        <f>IF(AND('Mapa final'!#REF!="Muy Alta",'Mapa final'!#REF!="Mayor"),CONCATENATE("R7C",'Mapa final'!#REF!),"")</f>
        <v>#REF!</v>
      </c>
      <c r="AD12" s="46" t="e">
        <f>IF(AND('Mapa final'!#REF!="Muy Alta",'Mapa final'!#REF!="Mayor"),CONCATENATE("R7C",'Mapa final'!#REF!),"")</f>
        <v>#REF!</v>
      </c>
      <c r="AE12" s="46" t="e">
        <f>IF(AND('Mapa final'!#REF!="Muy Alta",'Mapa final'!#REF!="Mayor"),CONCATENATE("R7C",'Mapa final'!#REF!),"")</f>
        <v>#REF!</v>
      </c>
      <c r="AF12" s="46" t="e">
        <f>IF(AND('Mapa final'!#REF!="Muy Alta",'Mapa final'!#REF!="Mayor"),CONCATENATE("R7C",'Mapa final'!#REF!),"")</f>
        <v>#REF!</v>
      </c>
      <c r="AG12" s="47" t="e">
        <f>IF(AND('Mapa final'!#REF!="Muy Alta",'Mapa final'!#REF!="Mayor"),CONCATENATE("R7C",'Mapa final'!#REF!),"")</f>
        <v>#REF!</v>
      </c>
      <c r="AH12" s="48" t="e">
        <f>IF(AND('Mapa final'!#REF!="Muy Alta",'Mapa final'!#REF!="Catastrófico"),CONCATENATE("R7C",'Mapa final'!#REF!),"")</f>
        <v>#REF!</v>
      </c>
      <c r="AI12" s="49" t="e">
        <f>IF(AND('Mapa final'!#REF!="Muy Alta",'Mapa final'!#REF!="Catastrófico"),CONCATENATE("R7C",'Mapa final'!#REF!),"")</f>
        <v>#REF!</v>
      </c>
      <c r="AJ12" s="49" t="e">
        <f>IF(AND('Mapa final'!#REF!="Muy Alta",'Mapa final'!#REF!="Catastrófico"),CONCATENATE("R7C",'Mapa final'!#REF!),"")</f>
        <v>#REF!</v>
      </c>
      <c r="AK12" s="49" t="e">
        <f>IF(AND('Mapa final'!#REF!="Muy Alta",'Mapa final'!#REF!="Catastrófico"),CONCATENATE("R7C",'Mapa final'!#REF!),"")</f>
        <v>#REF!</v>
      </c>
      <c r="AL12" s="49" t="e">
        <f>IF(AND('Mapa final'!#REF!="Muy Alta",'Mapa final'!#REF!="Catastrófico"),CONCATENATE("R7C",'Mapa final'!#REF!),"")</f>
        <v>#REF!</v>
      </c>
      <c r="AM12" s="50" t="e">
        <f>IF(AND('Mapa final'!#REF!="Muy Alta",'Mapa final'!#REF!="Catastrófico"),CONCATENATE("R7C",'Mapa final'!#REF!),"")</f>
        <v>#REF!</v>
      </c>
      <c r="AN12" s="76"/>
      <c r="AO12" s="506"/>
      <c r="AP12" s="507"/>
      <c r="AQ12" s="507"/>
      <c r="AR12" s="507"/>
      <c r="AS12" s="507"/>
      <c r="AT12" s="508"/>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row>
    <row r="13" spans="1:91" ht="15" customHeight="1" x14ac:dyDescent="0.25">
      <c r="A13" s="76"/>
      <c r="B13" s="445"/>
      <c r="C13" s="445"/>
      <c r="D13" s="446"/>
      <c r="E13" s="486"/>
      <c r="F13" s="487"/>
      <c r="G13" s="487"/>
      <c r="H13" s="487"/>
      <c r="I13" s="488"/>
      <c r="J13" s="45" t="e">
        <f>IF(AND('Mapa final'!#REF!="Muy Alta",'Mapa final'!#REF!="Leve"),CONCATENATE("R8C",'Mapa final'!#REF!),"")</f>
        <v>#REF!</v>
      </c>
      <c r="K13" s="46" t="e">
        <f>IF(AND('Mapa final'!#REF!="Muy Alta",'Mapa final'!#REF!="Leve"),CONCATENATE("R8C",'Mapa final'!#REF!),"")</f>
        <v>#REF!</v>
      </c>
      <c r="L13" s="46" t="e">
        <f>IF(AND('Mapa final'!#REF!="Muy Alta",'Mapa final'!#REF!="Leve"),CONCATENATE("R8C",'Mapa final'!#REF!),"")</f>
        <v>#REF!</v>
      </c>
      <c r="M13" s="46" t="e">
        <f>IF(AND('Mapa final'!#REF!="Muy Alta",'Mapa final'!#REF!="Leve"),CONCATENATE("R8C",'Mapa final'!#REF!),"")</f>
        <v>#REF!</v>
      </c>
      <c r="N13" s="46" t="e">
        <f>IF(AND('Mapa final'!#REF!="Muy Alta",'Mapa final'!#REF!="Leve"),CONCATENATE("R8C",'Mapa final'!#REF!),"")</f>
        <v>#REF!</v>
      </c>
      <c r="O13" s="47" t="e">
        <f>IF(AND('Mapa final'!#REF!="Muy Alta",'Mapa final'!#REF!="Leve"),CONCATENATE("R8C",'Mapa final'!#REF!),"")</f>
        <v>#REF!</v>
      </c>
      <c r="P13" s="45" t="e">
        <f>IF(AND('Mapa final'!#REF!="Muy Alta",'Mapa final'!#REF!="Menor"),CONCATENATE("R8C",'Mapa final'!#REF!),"")</f>
        <v>#REF!</v>
      </c>
      <c r="Q13" s="46" t="e">
        <f>IF(AND('Mapa final'!#REF!="Muy Alta",'Mapa final'!#REF!="Menor"),CONCATENATE("R8C",'Mapa final'!#REF!),"")</f>
        <v>#REF!</v>
      </c>
      <c r="R13" s="46" t="e">
        <f>IF(AND('Mapa final'!#REF!="Muy Alta",'Mapa final'!#REF!="Menor"),CONCATENATE("R8C",'Mapa final'!#REF!),"")</f>
        <v>#REF!</v>
      </c>
      <c r="S13" s="46" t="e">
        <f>IF(AND('Mapa final'!#REF!="Muy Alta",'Mapa final'!#REF!="Menor"),CONCATENATE("R8C",'Mapa final'!#REF!),"")</f>
        <v>#REF!</v>
      </c>
      <c r="T13" s="46" t="e">
        <f>IF(AND('Mapa final'!#REF!="Muy Alta",'Mapa final'!#REF!="Menor"),CONCATENATE("R8C",'Mapa final'!#REF!),"")</f>
        <v>#REF!</v>
      </c>
      <c r="U13" s="47" t="e">
        <f>IF(AND('Mapa final'!#REF!="Muy Alta",'Mapa final'!#REF!="Menor"),CONCATENATE("R8C",'Mapa final'!#REF!),"")</f>
        <v>#REF!</v>
      </c>
      <c r="V13" s="45" t="e">
        <f>IF(AND('Mapa final'!#REF!="Muy Alta",'Mapa final'!#REF!="Moderado"),CONCATENATE("R8C",'Mapa final'!#REF!),"")</f>
        <v>#REF!</v>
      </c>
      <c r="W13" s="46" t="e">
        <f>IF(AND('Mapa final'!#REF!="Muy Alta",'Mapa final'!#REF!="Moderado"),CONCATENATE("R8C",'Mapa final'!#REF!),"")</f>
        <v>#REF!</v>
      </c>
      <c r="X13" s="46" t="e">
        <f>IF(AND('Mapa final'!#REF!="Muy Alta",'Mapa final'!#REF!="Moderado"),CONCATENATE("R8C",'Mapa final'!#REF!),"")</f>
        <v>#REF!</v>
      </c>
      <c r="Y13" s="46" t="e">
        <f>IF(AND('Mapa final'!#REF!="Muy Alta",'Mapa final'!#REF!="Moderado"),CONCATENATE("R8C",'Mapa final'!#REF!),"")</f>
        <v>#REF!</v>
      </c>
      <c r="Z13" s="46" t="e">
        <f>IF(AND('Mapa final'!#REF!="Muy Alta",'Mapa final'!#REF!="Moderado"),CONCATENATE("R8C",'Mapa final'!#REF!),"")</f>
        <v>#REF!</v>
      </c>
      <c r="AA13" s="47" t="e">
        <f>IF(AND('Mapa final'!#REF!="Muy Alta",'Mapa final'!#REF!="Moderado"),CONCATENATE("R8C",'Mapa final'!#REF!),"")</f>
        <v>#REF!</v>
      </c>
      <c r="AB13" s="45" t="e">
        <f>IF(AND('Mapa final'!#REF!="Muy Alta",'Mapa final'!#REF!="Mayor"),CONCATENATE("R8C",'Mapa final'!#REF!),"")</f>
        <v>#REF!</v>
      </c>
      <c r="AC13" s="46" t="e">
        <f>IF(AND('Mapa final'!#REF!="Muy Alta",'Mapa final'!#REF!="Mayor"),CONCATENATE("R8C",'Mapa final'!#REF!),"")</f>
        <v>#REF!</v>
      </c>
      <c r="AD13" s="46" t="e">
        <f>IF(AND('Mapa final'!#REF!="Muy Alta",'Mapa final'!#REF!="Mayor"),CONCATENATE("R8C",'Mapa final'!#REF!),"")</f>
        <v>#REF!</v>
      </c>
      <c r="AE13" s="46" t="e">
        <f>IF(AND('Mapa final'!#REF!="Muy Alta",'Mapa final'!#REF!="Mayor"),CONCATENATE("R8C",'Mapa final'!#REF!),"")</f>
        <v>#REF!</v>
      </c>
      <c r="AF13" s="46" t="e">
        <f>IF(AND('Mapa final'!#REF!="Muy Alta",'Mapa final'!#REF!="Mayor"),CONCATENATE("R8C",'Mapa final'!#REF!),"")</f>
        <v>#REF!</v>
      </c>
      <c r="AG13" s="47" t="e">
        <f>IF(AND('Mapa final'!#REF!="Muy Alta",'Mapa final'!#REF!="Mayor"),CONCATENATE("R8C",'Mapa final'!#REF!),"")</f>
        <v>#REF!</v>
      </c>
      <c r="AH13" s="48" t="e">
        <f>IF(AND('Mapa final'!#REF!="Muy Alta",'Mapa final'!#REF!="Catastrófico"),CONCATENATE("R8C",'Mapa final'!#REF!),"")</f>
        <v>#REF!</v>
      </c>
      <c r="AI13" s="49" t="e">
        <f>IF(AND('Mapa final'!#REF!="Muy Alta",'Mapa final'!#REF!="Catastrófico"),CONCATENATE("R8C",'Mapa final'!#REF!),"")</f>
        <v>#REF!</v>
      </c>
      <c r="AJ13" s="49" t="e">
        <f>IF(AND('Mapa final'!#REF!="Muy Alta",'Mapa final'!#REF!="Catastrófico"),CONCATENATE("R8C",'Mapa final'!#REF!),"")</f>
        <v>#REF!</v>
      </c>
      <c r="AK13" s="49" t="e">
        <f>IF(AND('Mapa final'!#REF!="Muy Alta",'Mapa final'!#REF!="Catastrófico"),CONCATENATE("R8C",'Mapa final'!#REF!),"")</f>
        <v>#REF!</v>
      </c>
      <c r="AL13" s="49" t="e">
        <f>IF(AND('Mapa final'!#REF!="Muy Alta",'Mapa final'!#REF!="Catastrófico"),CONCATENATE("R8C",'Mapa final'!#REF!),"")</f>
        <v>#REF!</v>
      </c>
      <c r="AM13" s="50" t="e">
        <f>IF(AND('Mapa final'!#REF!="Muy Alta",'Mapa final'!#REF!="Catastrófico"),CONCATENATE("R8C",'Mapa final'!#REF!),"")</f>
        <v>#REF!</v>
      </c>
      <c r="AN13" s="76"/>
      <c r="AO13" s="506"/>
      <c r="AP13" s="507"/>
      <c r="AQ13" s="507"/>
      <c r="AR13" s="507"/>
      <c r="AS13" s="507"/>
      <c r="AT13" s="508"/>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row>
    <row r="14" spans="1:91" ht="15" customHeight="1" x14ac:dyDescent="0.25">
      <c r="A14" s="76"/>
      <c r="B14" s="445"/>
      <c r="C14" s="445"/>
      <c r="D14" s="446"/>
      <c r="E14" s="486"/>
      <c r="F14" s="487"/>
      <c r="G14" s="487"/>
      <c r="H14" s="487"/>
      <c r="I14" s="488"/>
      <c r="J14" s="45" t="e">
        <f>IF(AND('Mapa final'!#REF!="Muy Alta",'Mapa final'!#REF!="Leve"),CONCATENATE("R9C",'Mapa final'!#REF!),"")</f>
        <v>#REF!</v>
      </c>
      <c r="K14" s="46" t="e">
        <f>IF(AND('Mapa final'!#REF!="Muy Alta",'Mapa final'!#REF!="Leve"),CONCATENATE("R9C",'Mapa final'!#REF!),"")</f>
        <v>#REF!</v>
      </c>
      <c r="L14" s="46" t="e">
        <f>IF(AND('Mapa final'!#REF!="Muy Alta",'Mapa final'!#REF!="Leve"),CONCATENATE("R9C",'Mapa final'!#REF!),"")</f>
        <v>#REF!</v>
      </c>
      <c r="M14" s="46" t="e">
        <f>IF(AND('Mapa final'!#REF!="Muy Alta",'Mapa final'!#REF!="Leve"),CONCATENATE("R9C",'Mapa final'!#REF!),"")</f>
        <v>#REF!</v>
      </c>
      <c r="N14" s="46" t="e">
        <f>IF(AND('Mapa final'!#REF!="Muy Alta",'Mapa final'!#REF!="Leve"),CONCATENATE("R9C",'Mapa final'!#REF!),"")</f>
        <v>#REF!</v>
      </c>
      <c r="O14" s="47" t="e">
        <f>IF(AND('Mapa final'!#REF!="Muy Alta",'Mapa final'!#REF!="Leve"),CONCATENATE("R9C",'Mapa final'!#REF!),"")</f>
        <v>#REF!</v>
      </c>
      <c r="P14" s="45" t="e">
        <f>IF(AND('Mapa final'!#REF!="Muy Alta",'Mapa final'!#REF!="Menor"),CONCATENATE("R9C",'Mapa final'!#REF!),"")</f>
        <v>#REF!</v>
      </c>
      <c r="Q14" s="46" t="e">
        <f>IF(AND('Mapa final'!#REF!="Muy Alta",'Mapa final'!#REF!="Menor"),CONCATENATE("R9C",'Mapa final'!#REF!),"")</f>
        <v>#REF!</v>
      </c>
      <c r="R14" s="46" t="e">
        <f>IF(AND('Mapa final'!#REF!="Muy Alta",'Mapa final'!#REF!="Menor"),CONCATENATE("R9C",'Mapa final'!#REF!),"")</f>
        <v>#REF!</v>
      </c>
      <c r="S14" s="46" t="e">
        <f>IF(AND('Mapa final'!#REF!="Muy Alta",'Mapa final'!#REF!="Menor"),CONCATENATE("R9C",'Mapa final'!#REF!),"")</f>
        <v>#REF!</v>
      </c>
      <c r="T14" s="46" t="e">
        <f>IF(AND('Mapa final'!#REF!="Muy Alta",'Mapa final'!#REF!="Menor"),CONCATENATE("R9C",'Mapa final'!#REF!),"")</f>
        <v>#REF!</v>
      </c>
      <c r="U14" s="47" t="e">
        <f>IF(AND('Mapa final'!#REF!="Muy Alta",'Mapa final'!#REF!="Menor"),CONCATENATE("R9C",'Mapa final'!#REF!),"")</f>
        <v>#REF!</v>
      </c>
      <c r="V14" s="45" t="e">
        <f>IF(AND('Mapa final'!#REF!="Muy Alta",'Mapa final'!#REF!="Moderado"),CONCATENATE("R9C",'Mapa final'!#REF!),"")</f>
        <v>#REF!</v>
      </c>
      <c r="W14" s="46" t="e">
        <f>IF(AND('Mapa final'!#REF!="Muy Alta",'Mapa final'!#REF!="Moderado"),CONCATENATE("R9C",'Mapa final'!#REF!),"")</f>
        <v>#REF!</v>
      </c>
      <c r="X14" s="46" t="e">
        <f>IF(AND('Mapa final'!#REF!="Muy Alta",'Mapa final'!#REF!="Moderado"),CONCATENATE("R9C",'Mapa final'!#REF!),"")</f>
        <v>#REF!</v>
      </c>
      <c r="Y14" s="46" t="e">
        <f>IF(AND('Mapa final'!#REF!="Muy Alta",'Mapa final'!#REF!="Moderado"),CONCATENATE("R9C",'Mapa final'!#REF!),"")</f>
        <v>#REF!</v>
      </c>
      <c r="Z14" s="46" t="e">
        <f>IF(AND('Mapa final'!#REF!="Muy Alta",'Mapa final'!#REF!="Moderado"),CONCATENATE("R9C",'Mapa final'!#REF!),"")</f>
        <v>#REF!</v>
      </c>
      <c r="AA14" s="47" t="e">
        <f>IF(AND('Mapa final'!#REF!="Muy Alta",'Mapa final'!#REF!="Moderado"),CONCATENATE("R9C",'Mapa final'!#REF!),"")</f>
        <v>#REF!</v>
      </c>
      <c r="AB14" s="45" t="e">
        <f>IF(AND('Mapa final'!#REF!="Muy Alta",'Mapa final'!#REF!="Mayor"),CONCATENATE("R9C",'Mapa final'!#REF!),"")</f>
        <v>#REF!</v>
      </c>
      <c r="AC14" s="46" t="e">
        <f>IF(AND('Mapa final'!#REF!="Muy Alta",'Mapa final'!#REF!="Mayor"),CONCATENATE("R9C",'Mapa final'!#REF!),"")</f>
        <v>#REF!</v>
      </c>
      <c r="AD14" s="46" t="e">
        <f>IF(AND('Mapa final'!#REF!="Muy Alta",'Mapa final'!#REF!="Mayor"),CONCATENATE("R9C",'Mapa final'!#REF!),"")</f>
        <v>#REF!</v>
      </c>
      <c r="AE14" s="46" t="e">
        <f>IF(AND('Mapa final'!#REF!="Muy Alta",'Mapa final'!#REF!="Mayor"),CONCATENATE("R9C",'Mapa final'!#REF!),"")</f>
        <v>#REF!</v>
      </c>
      <c r="AF14" s="46" t="e">
        <f>IF(AND('Mapa final'!#REF!="Muy Alta",'Mapa final'!#REF!="Mayor"),CONCATENATE("R9C",'Mapa final'!#REF!),"")</f>
        <v>#REF!</v>
      </c>
      <c r="AG14" s="47" t="e">
        <f>IF(AND('Mapa final'!#REF!="Muy Alta",'Mapa final'!#REF!="Mayor"),CONCATENATE("R9C",'Mapa final'!#REF!),"")</f>
        <v>#REF!</v>
      </c>
      <c r="AH14" s="48" t="e">
        <f>IF(AND('Mapa final'!#REF!="Muy Alta",'Mapa final'!#REF!="Catastrófico"),CONCATENATE("R9C",'Mapa final'!#REF!),"")</f>
        <v>#REF!</v>
      </c>
      <c r="AI14" s="49" t="e">
        <f>IF(AND('Mapa final'!#REF!="Muy Alta",'Mapa final'!#REF!="Catastrófico"),CONCATENATE("R9C",'Mapa final'!#REF!),"")</f>
        <v>#REF!</v>
      </c>
      <c r="AJ14" s="49" t="e">
        <f>IF(AND('Mapa final'!#REF!="Muy Alta",'Mapa final'!#REF!="Catastrófico"),CONCATENATE("R9C",'Mapa final'!#REF!),"")</f>
        <v>#REF!</v>
      </c>
      <c r="AK14" s="49" t="e">
        <f>IF(AND('Mapa final'!#REF!="Muy Alta",'Mapa final'!#REF!="Catastrófico"),CONCATENATE("R9C",'Mapa final'!#REF!),"")</f>
        <v>#REF!</v>
      </c>
      <c r="AL14" s="49" t="e">
        <f>IF(AND('Mapa final'!#REF!="Muy Alta",'Mapa final'!#REF!="Catastrófico"),CONCATENATE("R9C",'Mapa final'!#REF!),"")</f>
        <v>#REF!</v>
      </c>
      <c r="AM14" s="50" t="e">
        <f>IF(AND('Mapa final'!#REF!="Muy Alta",'Mapa final'!#REF!="Catastrófico"),CONCATENATE("R9C",'Mapa final'!#REF!),"")</f>
        <v>#REF!</v>
      </c>
      <c r="AN14" s="76"/>
      <c r="AO14" s="506"/>
      <c r="AP14" s="507"/>
      <c r="AQ14" s="507"/>
      <c r="AR14" s="507"/>
      <c r="AS14" s="507"/>
      <c r="AT14" s="508"/>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row>
    <row r="15" spans="1:91" ht="15.75" customHeight="1" thickBot="1" x14ac:dyDescent="0.3">
      <c r="A15" s="76"/>
      <c r="B15" s="445"/>
      <c r="C15" s="445"/>
      <c r="D15" s="446"/>
      <c r="E15" s="489"/>
      <c r="F15" s="490"/>
      <c r="G15" s="490"/>
      <c r="H15" s="490"/>
      <c r="I15" s="491"/>
      <c r="J15" s="51" t="e">
        <f>IF(AND('Mapa final'!#REF!="Muy Alta",'Mapa final'!#REF!="Leve"),CONCATENATE("R10C",'Mapa final'!#REF!),"")</f>
        <v>#REF!</v>
      </c>
      <c r="K15" s="52" t="e">
        <f>IF(AND('Mapa final'!#REF!="Muy Alta",'Mapa final'!#REF!="Leve"),CONCATENATE("R10C",'Mapa final'!#REF!),"")</f>
        <v>#REF!</v>
      </c>
      <c r="L15" s="52" t="e">
        <f>IF(AND('Mapa final'!#REF!="Muy Alta",'Mapa final'!#REF!="Leve"),CONCATENATE("R10C",'Mapa final'!#REF!),"")</f>
        <v>#REF!</v>
      </c>
      <c r="M15" s="52" t="e">
        <f>IF(AND('Mapa final'!#REF!="Muy Alta",'Mapa final'!#REF!="Leve"),CONCATENATE("R10C",'Mapa final'!#REF!),"")</f>
        <v>#REF!</v>
      </c>
      <c r="N15" s="52" t="e">
        <f>IF(AND('Mapa final'!#REF!="Muy Alta",'Mapa final'!#REF!="Leve"),CONCATENATE("R10C",'Mapa final'!#REF!),"")</f>
        <v>#REF!</v>
      </c>
      <c r="O15" s="53" t="e">
        <f>IF(AND('Mapa final'!#REF!="Muy Alta",'Mapa final'!#REF!="Leve"),CONCATENATE("R10C",'Mapa final'!#REF!),"")</f>
        <v>#REF!</v>
      </c>
      <c r="P15" s="45" t="e">
        <f>IF(AND('Mapa final'!#REF!="Muy Alta",'Mapa final'!#REF!="Menor"),CONCATENATE("R10C",'Mapa final'!#REF!),"")</f>
        <v>#REF!</v>
      </c>
      <c r="Q15" s="46" t="e">
        <f>IF(AND('Mapa final'!#REF!="Muy Alta",'Mapa final'!#REF!="Menor"),CONCATENATE("R10C",'Mapa final'!#REF!),"")</f>
        <v>#REF!</v>
      </c>
      <c r="R15" s="46" t="e">
        <f>IF(AND('Mapa final'!#REF!="Muy Alta",'Mapa final'!#REF!="Menor"),CONCATENATE("R10C",'Mapa final'!#REF!),"")</f>
        <v>#REF!</v>
      </c>
      <c r="S15" s="46" t="e">
        <f>IF(AND('Mapa final'!#REF!="Muy Alta",'Mapa final'!#REF!="Menor"),CONCATENATE("R10C",'Mapa final'!#REF!),"")</f>
        <v>#REF!</v>
      </c>
      <c r="T15" s="46" t="e">
        <f>IF(AND('Mapa final'!#REF!="Muy Alta",'Mapa final'!#REF!="Menor"),CONCATENATE("R10C",'Mapa final'!#REF!),"")</f>
        <v>#REF!</v>
      </c>
      <c r="U15" s="47" t="e">
        <f>IF(AND('Mapa final'!#REF!="Muy Alta",'Mapa final'!#REF!="Menor"),CONCATENATE("R10C",'Mapa final'!#REF!),"")</f>
        <v>#REF!</v>
      </c>
      <c r="V15" s="51" t="e">
        <f>IF(AND('Mapa final'!#REF!="Muy Alta",'Mapa final'!#REF!="Moderado"),CONCATENATE("R10C",'Mapa final'!#REF!),"")</f>
        <v>#REF!</v>
      </c>
      <c r="W15" s="52" t="e">
        <f>IF(AND('Mapa final'!#REF!="Muy Alta",'Mapa final'!#REF!="Moderado"),CONCATENATE("R10C",'Mapa final'!#REF!),"")</f>
        <v>#REF!</v>
      </c>
      <c r="X15" s="52" t="e">
        <f>IF(AND('Mapa final'!#REF!="Muy Alta",'Mapa final'!#REF!="Moderado"),CONCATENATE("R10C",'Mapa final'!#REF!),"")</f>
        <v>#REF!</v>
      </c>
      <c r="Y15" s="52" t="e">
        <f>IF(AND('Mapa final'!#REF!="Muy Alta",'Mapa final'!#REF!="Moderado"),CONCATENATE("R10C",'Mapa final'!#REF!),"")</f>
        <v>#REF!</v>
      </c>
      <c r="Z15" s="52" t="e">
        <f>IF(AND('Mapa final'!#REF!="Muy Alta",'Mapa final'!#REF!="Moderado"),CONCATENATE("R10C",'Mapa final'!#REF!),"")</f>
        <v>#REF!</v>
      </c>
      <c r="AA15" s="53" t="e">
        <f>IF(AND('Mapa final'!#REF!="Muy Alta",'Mapa final'!#REF!="Moderado"),CONCATENATE("R10C",'Mapa final'!#REF!),"")</f>
        <v>#REF!</v>
      </c>
      <c r="AB15" s="45" t="e">
        <f>IF(AND('Mapa final'!#REF!="Muy Alta",'Mapa final'!#REF!="Mayor"),CONCATENATE("R10C",'Mapa final'!#REF!),"")</f>
        <v>#REF!</v>
      </c>
      <c r="AC15" s="46" t="e">
        <f>IF(AND('Mapa final'!#REF!="Muy Alta",'Mapa final'!#REF!="Mayor"),CONCATENATE("R10C",'Mapa final'!#REF!),"")</f>
        <v>#REF!</v>
      </c>
      <c r="AD15" s="46" t="e">
        <f>IF(AND('Mapa final'!#REF!="Muy Alta",'Mapa final'!#REF!="Mayor"),CONCATENATE("R10C",'Mapa final'!#REF!),"")</f>
        <v>#REF!</v>
      </c>
      <c r="AE15" s="46" t="e">
        <f>IF(AND('Mapa final'!#REF!="Muy Alta",'Mapa final'!#REF!="Mayor"),CONCATENATE("R10C",'Mapa final'!#REF!),"")</f>
        <v>#REF!</v>
      </c>
      <c r="AF15" s="46" t="e">
        <f>IF(AND('Mapa final'!#REF!="Muy Alta",'Mapa final'!#REF!="Mayor"),CONCATENATE("R10C",'Mapa final'!#REF!),"")</f>
        <v>#REF!</v>
      </c>
      <c r="AG15" s="47" t="e">
        <f>IF(AND('Mapa final'!#REF!="Muy Alta",'Mapa final'!#REF!="Mayor"),CONCATENATE("R10C",'Mapa final'!#REF!),"")</f>
        <v>#REF!</v>
      </c>
      <c r="AH15" s="54" t="e">
        <f>IF(AND('Mapa final'!#REF!="Muy Alta",'Mapa final'!#REF!="Catastrófico"),CONCATENATE("R10C",'Mapa final'!#REF!),"")</f>
        <v>#REF!</v>
      </c>
      <c r="AI15" s="55" t="e">
        <f>IF(AND('Mapa final'!#REF!="Muy Alta",'Mapa final'!#REF!="Catastrófico"),CONCATENATE("R10C",'Mapa final'!#REF!),"")</f>
        <v>#REF!</v>
      </c>
      <c r="AJ15" s="55" t="e">
        <f>IF(AND('Mapa final'!#REF!="Muy Alta",'Mapa final'!#REF!="Catastrófico"),CONCATENATE("R10C",'Mapa final'!#REF!),"")</f>
        <v>#REF!</v>
      </c>
      <c r="AK15" s="55" t="e">
        <f>IF(AND('Mapa final'!#REF!="Muy Alta",'Mapa final'!#REF!="Catastrófico"),CONCATENATE("R10C",'Mapa final'!#REF!),"")</f>
        <v>#REF!</v>
      </c>
      <c r="AL15" s="55" t="e">
        <f>IF(AND('Mapa final'!#REF!="Muy Alta",'Mapa final'!#REF!="Catastrófico"),CONCATENATE("R10C",'Mapa final'!#REF!),"")</f>
        <v>#REF!</v>
      </c>
      <c r="AM15" s="56" t="e">
        <f>IF(AND('Mapa final'!#REF!="Muy Alta",'Mapa final'!#REF!="Catastrófico"),CONCATENATE("R10C",'Mapa final'!#REF!),"")</f>
        <v>#REF!</v>
      </c>
      <c r="AN15" s="76"/>
      <c r="AO15" s="509"/>
      <c r="AP15" s="510"/>
      <c r="AQ15" s="510"/>
      <c r="AR15" s="510"/>
      <c r="AS15" s="510"/>
      <c r="AT15" s="511"/>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row>
    <row r="16" spans="1:91" ht="15" customHeight="1" x14ac:dyDescent="0.25">
      <c r="A16" s="76"/>
      <c r="B16" s="445"/>
      <c r="C16" s="445"/>
      <c r="D16" s="446"/>
      <c r="E16" s="483" t="s">
        <v>115</v>
      </c>
      <c r="F16" s="484"/>
      <c r="G16" s="484"/>
      <c r="H16" s="484"/>
      <c r="I16" s="484"/>
      <c r="J16" s="57" t="str">
        <f>IF(AND('Mapa final'!$AA$20="Alta",'Mapa final'!$AC$20="Leve"),CONCATENATE("R1C",'Mapa final'!$Q$20),"")</f>
        <v/>
      </c>
      <c r="K16" s="58" t="str">
        <f>IF(AND('Mapa final'!$AA$21="Alta",'Mapa final'!$AC$21="Leve"),CONCATENATE("R1C",'Mapa final'!$Q$21),"")</f>
        <v/>
      </c>
      <c r="L16" s="58" t="str">
        <f>IF(AND('Mapa final'!$AA$22="Alta",'Mapa final'!$AC$22="Leve"),CONCATENATE("R1C",'Mapa final'!$Q$22),"")</f>
        <v/>
      </c>
      <c r="M16" s="58" t="e">
        <f>IF(AND('Mapa final'!#REF!="Alta",'Mapa final'!#REF!="Leve"),CONCATENATE("R1C",'Mapa final'!#REF!),"")</f>
        <v>#REF!</v>
      </c>
      <c r="N16" s="58" t="e">
        <f>IF(AND('Mapa final'!#REF!="Alta",'Mapa final'!#REF!="Leve"),CONCATENATE("R1C",'Mapa final'!#REF!),"")</f>
        <v>#REF!</v>
      </c>
      <c r="O16" s="59" t="e">
        <f>IF(AND('Mapa final'!#REF!="Alta",'Mapa final'!#REF!="Leve"),CONCATENATE("R1C",'Mapa final'!#REF!),"")</f>
        <v>#REF!</v>
      </c>
      <c r="P16" s="57" t="str">
        <f>IF(AND('Mapa final'!$AA$20="Alta",'Mapa final'!$AC$20="Menor"),CONCATENATE("R1C",'Mapa final'!$Q$20),"")</f>
        <v/>
      </c>
      <c r="Q16" s="58" t="str">
        <f>IF(AND('Mapa final'!$AA$21="Alta",'Mapa final'!$AC$21="Menor"),CONCATENATE("R1C",'Mapa final'!$Q$21),"")</f>
        <v/>
      </c>
      <c r="R16" s="58" t="str">
        <f>IF(AND('Mapa final'!$AA$22="Alta",'Mapa final'!$AC$22="Menor"),CONCATENATE("R1C",'Mapa final'!$Q$22),"")</f>
        <v/>
      </c>
      <c r="S16" s="58" t="e">
        <f>IF(AND('Mapa final'!#REF!="Alta",'Mapa final'!#REF!="Menor"),CONCATENATE("R1C",'Mapa final'!#REF!),"")</f>
        <v>#REF!</v>
      </c>
      <c r="T16" s="58" t="e">
        <f>IF(AND('Mapa final'!#REF!="Alta",'Mapa final'!#REF!="Menor"),CONCATENATE("R1C",'Mapa final'!#REF!),"")</f>
        <v>#REF!</v>
      </c>
      <c r="U16" s="59" t="e">
        <f>IF(AND('Mapa final'!#REF!="Alta",'Mapa final'!#REF!="Menor"),CONCATENATE("R1C",'Mapa final'!#REF!),"")</f>
        <v>#REF!</v>
      </c>
      <c r="V16" s="39" t="str">
        <f>IF(AND('Mapa final'!$AA$20="Alta",'Mapa final'!$AC$20="Moderado"),CONCATENATE("R1C",'Mapa final'!$Q$20),"")</f>
        <v/>
      </c>
      <c r="W16" s="40" t="str">
        <f>IF(AND('Mapa final'!$AA$21="Alta",'Mapa final'!$AC$21="Moderado"),CONCATENATE("R1C",'Mapa final'!$Q$21),"")</f>
        <v/>
      </c>
      <c r="X16" s="40" t="str">
        <f>IF(AND('Mapa final'!$AA$22="Alta",'Mapa final'!$AC$22="Moderado"),CONCATENATE("R1C",'Mapa final'!$Q$22),"")</f>
        <v/>
      </c>
      <c r="Y16" s="40" t="e">
        <f>IF(AND('Mapa final'!#REF!="Alta",'Mapa final'!#REF!="Moderado"),CONCATENATE("R1C",'Mapa final'!#REF!),"")</f>
        <v>#REF!</v>
      </c>
      <c r="Z16" s="40" t="e">
        <f>IF(AND('Mapa final'!#REF!="Alta",'Mapa final'!#REF!="Moderado"),CONCATENATE("R1C",'Mapa final'!#REF!),"")</f>
        <v>#REF!</v>
      </c>
      <c r="AA16" s="41" t="e">
        <f>IF(AND('Mapa final'!#REF!="Alta",'Mapa final'!#REF!="Moderado"),CONCATENATE("R1C",'Mapa final'!#REF!),"")</f>
        <v>#REF!</v>
      </c>
      <c r="AB16" s="39" t="str">
        <f>IF(AND('Mapa final'!$AA$20="Alta",'Mapa final'!$AC$20="Mayor"),CONCATENATE("R1C",'Mapa final'!$Q$20),"")</f>
        <v/>
      </c>
      <c r="AC16" s="40" t="str">
        <f>IF(AND('Mapa final'!$AA$21="Alta",'Mapa final'!$AC$21="Mayor"),CONCATENATE("R1C",'Mapa final'!$Q$21),"")</f>
        <v/>
      </c>
      <c r="AD16" s="40" t="str">
        <f>IF(AND('Mapa final'!$AA$22="Alta",'Mapa final'!$AC$22="Mayor"),CONCATENATE("R1C",'Mapa final'!$Q$22),"")</f>
        <v/>
      </c>
      <c r="AE16" s="40" t="e">
        <f>IF(AND('Mapa final'!#REF!="Alta",'Mapa final'!#REF!="Mayor"),CONCATENATE("R1C",'Mapa final'!#REF!),"")</f>
        <v>#REF!</v>
      </c>
      <c r="AF16" s="40" t="e">
        <f>IF(AND('Mapa final'!#REF!="Alta",'Mapa final'!#REF!="Mayor"),CONCATENATE("R1C",'Mapa final'!#REF!),"")</f>
        <v>#REF!</v>
      </c>
      <c r="AG16" s="41" t="e">
        <f>IF(AND('Mapa final'!#REF!="Alta",'Mapa final'!#REF!="Mayor"),CONCATENATE("R1C",'Mapa final'!#REF!),"")</f>
        <v>#REF!</v>
      </c>
      <c r="AH16" s="42" t="str">
        <f>IF(AND('Mapa final'!$AA$20="Alta",'Mapa final'!$AC$20="Catastrófico"),CONCATENATE("R1C",'Mapa final'!$Q$20),"")</f>
        <v/>
      </c>
      <c r="AI16" s="43" t="str">
        <f>IF(AND('Mapa final'!$AA$21="Alta",'Mapa final'!$AC$21="Catastrófico"),CONCATENATE("R1C",'Mapa final'!$Q$21),"")</f>
        <v/>
      </c>
      <c r="AJ16" s="43" t="str">
        <f>IF(AND('Mapa final'!$AA$22="Alta",'Mapa final'!$AC$22="Catastrófico"),CONCATENATE("R1C",'Mapa final'!$Q$22),"")</f>
        <v/>
      </c>
      <c r="AK16" s="43" t="e">
        <f>IF(AND('Mapa final'!#REF!="Alta",'Mapa final'!#REF!="Catastrófico"),CONCATENATE("R1C",'Mapa final'!#REF!),"")</f>
        <v>#REF!</v>
      </c>
      <c r="AL16" s="43" t="e">
        <f>IF(AND('Mapa final'!#REF!="Alta",'Mapa final'!#REF!="Catastrófico"),CONCATENATE("R1C",'Mapa final'!#REF!),"")</f>
        <v>#REF!</v>
      </c>
      <c r="AM16" s="44" t="e">
        <f>IF(AND('Mapa final'!#REF!="Alta",'Mapa final'!#REF!="Catastrófico"),CONCATENATE("R1C",'Mapa final'!#REF!),"")</f>
        <v>#REF!</v>
      </c>
      <c r="AN16" s="76"/>
      <c r="AO16" s="493" t="s">
        <v>80</v>
      </c>
      <c r="AP16" s="494"/>
      <c r="AQ16" s="494"/>
      <c r="AR16" s="494"/>
      <c r="AS16" s="494"/>
      <c r="AT16" s="495"/>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row>
    <row r="17" spans="1:76" ht="15" customHeight="1" x14ac:dyDescent="0.25">
      <c r="A17" s="76"/>
      <c r="B17" s="445"/>
      <c r="C17" s="445"/>
      <c r="D17" s="446"/>
      <c r="E17" s="502"/>
      <c r="F17" s="487"/>
      <c r="G17" s="487"/>
      <c r="H17" s="487"/>
      <c r="I17" s="487"/>
      <c r="J17" s="60" t="str">
        <f>IF(AND('Mapa final'!$AA$23="Alta",'Mapa final'!$AC$23="Leve"),CONCATENATE("R2C",'Mapa final'!$Q$23),"")</f>
        <v/>
      </c>
      <c r="K17" s="61" t="e">
        <f>IF(AND('Mapa final'!#REF!="Alta",'Mapa final'!#REF!="Leve"),CONCATENATE("R2C",'Mapa final'!#REF!),"")</f>
        <v>#REF!</v>
      </c>
      <c r="L17" s="61" t="e">
        <f>IF(AND('Mapa final'!#REF!="Alta",'Mapa final'!#REF!="Leve"),CONCATENATE("R2C",'Mapa final'!#REF!),"")</f>
        <v>#REF!</v>
      </c>
      <c r="M17" s="61" t="e">
        <f>IF(AND('Mapa final'!#REF!="Alta",'Mapa final'!#REF!="Leve"),CONCATENATE("R2C",'Mapa final'!#REF!),"")</f>
        <v>#REF!</v>
      </c>
      <c r="N17" s="61" t="e">
        <f>IF(AND('Mapa final'!#REF!="Alta",'Mapa final'!#REF!="Leve"),CONCATENATE("R2C",'Mapa final'!#REF!),"")</f>
        <v>#REF!</v>
      </c>
      <c r="O17" s="62" t="e">
        <f>IF(AND('Mapa final'!#REF!="Alta",'Mapa final'!#REF!="Leve"),CONCATENATE("R2C",'Mapa final'!#REF!),"")</f>
        <v>#REF!</v>
      </c>
      <c r="P17" s="60" t="str">
        <f>IF(AND('Mapa final'!$AA$23="Alta",'Mapa final'!$AC$23="Menor"),CONCATENATE("R2C",'Mapa final'!$Q$23),"")</f>
        <v/>
      </c>
      <c r="Q17" s="61" t="e">
        <f>IF(AND('Mapa final'!#REF!="Alta",'Mapa final'!#REF!="Menor"),CONCATENATE("R2C",'Mapa final'!#REF!),"")</f>
        <v>#REF!</v>
      </c>
      <c r="R17" s="61" t="e">
        <f>IF(AND('Mapa final'!#REF!="Alta",'Mapa final'!#REF!="Menor"),CONCATENATE("R2C",'Mapa final'!#REF!),"")</f>
        <v>#REF!</v>
      </c>
      <c r="S17" s="61" t="e">
        <f>IF(AND('Mapa final'!#REF!="Alta",'Mapa final'!#REF!="Menor"),CONCATENATE("R2C",'Mapa final'!#REF!),"")</f>
        <v>#REF!</v>
      </c>
      <c r="T17" s="61" t="e">
        <f>IF(AND('Mapa final'!#REF!="Alta",'Mapa final'!#REF!="Menor"),CONCATENATE("R2C",'Mapa final'!#REF!),"")</f>
        <v>#REF!</v>
      </c>
      <c r="U17" s="62" t="e">
        <f>IF(AND('Mapa final'!#REF!="Alta",'Mapa final'!#REF!="Menor"),CONCATENATE("R2C",'Mapa final'!#REF!),"")</f>
        <v>#REF!</v>
      </c>
      <c r="V17" s="45" t="str">
        <f>IF(AND('Mapa final'!$AA$23="Alta",'Mapa final'!$AC$23="Moderado"),CONCATENATE("R2C",'Mapa final'!$Q$23),"")</f>
        <v/>
      </c>
      <c r="W17" s="46" t="e">
        <f>IF(AND('Mapa final'!#REF!="Alta",'Mapa final'!#REF!="Moderado"),CONCATENATE("R2C",'Mapa final'!#REF!),"")</f>
        <v>#REF!</v>
      </c>
      <c r="X17" s="46" t="e">
        <f>IF(AND('Mapa final'!#REF!="Alta",'Mapa final'!#REF!="Moderado"),CONCATENATE("R2C",'Mapa final'!#REF!),"")</f>
        <v>#REF!</v>
      </c>
      <c r="Y17" s="46" t="e">
        <f>IF(AND('Mapa final'!#REF!="Alta",'Mapa final'!#REF!="Moderado"),CONCATENATE("R2C",'Mapa final'!#REF!),"")</f>
        <v>#REF!</v>
      </c>
      <c r="Z17" s="46" t="e">
        <f>IF(AND('Mapa final'!#REF!="Alta",'Mapa final'!#REF!="Moderado"),CONCATENATE("R2C",'Mapa final'!#REF!),"")</f>
        <v>#REF!</v>
      </c>
      <c r="AA17" s="47" t="e">
        <f>IF(AND('Mapa final'!#REF!="Alta",'Mapa final'!#REF!="Moderado"),CONCATENATE("R2C",'Mapa final'!#REF!),"")</f>
        <v>#REF!</v>
      </c>
      <c r="AB17" s="45" t="str">
        <f>IF(AND('Mapa final'!$AA$23="Alta",'Mapa final'!$AC$23="Mayor"),CONCATENATE("R2C",'Mapa final'!$Q$23),"")</f>
        <v/>
      </c>
      <c r="AC17" s="46" t="e">
        <f>IF(AND('Mapa final'!#REF!="Alta",'Mapa final'!#REF!="Mayor"),CONCATENATE("R2C",'Mapa final'!#REF!),"")</f>
        <v>#REF!</v>
      </c>
      <c r="AD17" s="46" t="e">
        <f>IF(AND('Mapa final'!#REF!="Alta",'Mapa final'!#REF!="Mayor"),CONCATENATE("R2C",'Mapa final'!#REF!),"")</f>
        <v>#REF!</v>
      </c>
      <c r="AE17" s="46" t="e">
        <f>IF(AND('Mapa final'!#REF!="Alta",'Mapa final'!#REF!="Mayor"),CONCATENATE("R2C",'Mapa final'!#REF!),"")</f>
        <v>#REF!</v>
      </c>
      <c r="AF17" s="46" t="e">
        <f>IF(AND('Mapa final'!#REF!="Alta",'Mapa final'!#REF!="Mayor"),CONCATENATE("R2C",'Mapa final'!#REF!),"")</f>
        <v>#REF!</v>
      </c>
      <c r="AG17" s="47" t="e">
        <f>IF(AND('Mapa final'!#REF!="Alta",'Mapa final'!#REF!="Mayor"),CONCATENATE("R2C",'Mapa final'!#REF!),"")</f>
        <v>#REF!</v>
      </c>
      <c r="AH17" s="48" t="str">
        <f>IF(AND('Mapa final'!$AA$23="Alta",'Mapa final'!$AC$23="Catastrófico"),CONCATENATE("R2C",'Mapa final'!$Q$23),"")</f>
        <v/>
      </c>
      <c r="AI17" s="49" t="e">
        <f>IF(AND('Mapa final'!#REF!="Alta",'Mapa final'!#REF!="Catastrófico"),CONCATENATE("R2C",'Mapa final'!#REF!),"")</f>
        <v>#REF!</v>
      </c>
      <c r="AJ17" s="49" t="e">
        <f>IF(AND('Mapa final'!#REF!="Alta",'Mapa final'!#REF!="Catastrófico"),CONCATENATE("R2C",'Mapa final'!#REF!),"")</f>
        <v>#REF!</v>
      </c>
      <c r="AK17" s="49" t="e">
        <f>IF(AND('Mapa final'!#REF!="Alta",'Mapa final'!#REF!="Catastrófico"),CONCATENATE("R2C",'Mapa final'!#REF!),"")</f>
        <v>#REF!</v>
      </c>
      <c r="AL17" s="49" t="e">
        <f>IF(AND('Mapa final'!#REF!="Alta",'Mapa final'!#REF!="Catastrófico"),CONCATENATE("R2C",'Mapa final'!#REF!),"")</f>
        <v>#REF!</v>
      </c>
      <c r="AM17" s="50" t="e">
        <f>IF(AND('Mapa final'!#REF!="Alta",'Mapa final'!#REF!="Catastrófico"),CONCATENATE("R2C",'Mapa final'!#REF!),"")</f>
        <v>#REF!</v>
      </c>
      <c r="AN17" s="76"/>
      <c r="AO17" s="496"/>
      <c r="AP17" s="497"/>
      <c r="AQ17" s="497"/>
      <c r="AR17" s="497"/>
      <c r="AS17" s="497"/>
      <c r="AT17" s="498"/>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row>
    <row r="18" spans="1:76" ht="15" customHeight="1" x14ac:dyDescent="0.25">
      <c r="A18" s="76"/>
      <c r="B18" s="445"/>
      <c r="C18" s="445"/>
      <c r="D18" s="446"/>
      <c r="E18" s="486"/>
      <c r="F18" s="487"/>
      <c r="G18" s="487"/>
      <c r="H18" s="487"/>
      <c r="I18" s="487"/>
      <c r="J18" s="60" t="str">
        <f>IF(AND('Mapa final'!$AA$24="Alta",'Mapa final'!$AC$24="Leve"),CONCATENATE("R3C",'Mapa final'!$Q$24),"")</f>
        <v/>
      </c>
      <c r="K18" s="61" t="str">
        <f>IF(AND('Mapa final'!$AA$25="Alta",'Mapa final'!$AC$25="Leve"),CONCATENATE("R3C",'Mapa final'!$Q$25),"")</f>
        <v/>
      </c>
      <c r="L18" s="61" t="str">
        <f>IF(AND('Mapa final'!$AA$26="Alta",'Mapa final'!$AC$26="Leve"),CONCATENATE("R3C",'Mapa final'!$Q$26),"")</f>
        <v/>
      </c>
      <c r="M18" s="61" t="e">
        <f>IF(AND('Mapa final'!#REF!="Alta",'Mapa final'!#REF!="Leve"),CONCATENATE("R3C",'Mapa final'!#REF!),"")</f>
        <v>#REF!</v>
      </c>
      <c r="N18" s="61" t="e">
        <f>IF(AND('Mapa final'!#REF!="Alta",'Mapa final'!#REF!="Leve"),CONCATENATE("R3C",'Mapa final'!#REF!),"")</f>
        <v>#REF!</v>
      </c>
      <c r="O18" s="62" t="e">
        <f>IF(AND('Mapa final'!#REF!="Alta",'Mapa final'!#REF!="Leve"),CONCATENATE("R3C",'Mapa final'!#REF!),"")</f>
        <v>#REF!</v>
      </c>
      <c r="P18" s="60" t="str">
        <f>IF(AND('Mapa final'!$AA$24="Alta",'Mapa final'!$AC$24="Menor"),CONCATENATE("R3C",'Mapa final'!$Q$24),"")</f>
        <v/>
      </c>
      <c r="Q18" s="61" t="str">
        <f>IF(AND('Mapa final'!$AA$25="Alta",'Mapa final'!$AC$25="Menor"),CONCATENATE("R3C",'Mapa final'!$Q$25),"")</f>
        <v/>
      </c>
      <c r="R18" s="61" t="str">
        <f>IF(AND('Mapa final'!$AA$26="Alta",'Mapa final'!$AC$26="Menor"),CONCATENATE("R3C",'Mapa final'!$Q$26),"")</f>
        <v/>
      </c>
      <c r="S18" s="61" t="e">
        <f>IF(AND('Mapa final'!#REF!="Alta",'Mapa final'!#REF!="Menor"),CONCATENATE("R3C",'Mapa final'!#REF!),"")</f>
        <v>#REF!</v>
      </c>
      <c r="T18" s="61" t="e">
        <f>IF(AND('Mapa final'!#REF!="Alta",'Mapa final'!#REF!="Menor"),CONCATENATE("R3C",'Mapa final'!#REF!),"")</f>
        <v>#REF!</v>
      </c>
      <c r="U18" s="62" t="e">
        <f>IF(AND('Mapa final'!#REF!="Alta",'Mapa final'!#REF!="Menor"),CONCATENATE("R3C",'Mapa final'!#REF!),"")</f>
        <v>#REF!</v>
      </c>
      <c r="V18" s="45" t="str">
        <f>IF(AND('Mapa final'!$AA$24="Alta",'Mapa final'!$AC$24="Moderado"),CONCATENATE("R3C",'Mapa final'!$Q$24),"")</f>
        <v/>
      </c>
      <c r="W18" s="46" t="str">
        <f>IF(AND('Mapa final'!$AA$25="Alta",'Mapa final'!$AC$25="Moderado"),CONCATENATE("R3C",'Mapa final'!$Q$25),"")</f>
        <v/>
      </c>
      <c r="X18" s="46" t="str">
        <f>IF(AND('Mapa final'!$AA$26="Alta",'Mapa final'!$AC$26="Moderado"),CONCATENATE("R3C",'Mapa final'!$Q$26),"")</f>
        <v/>
      </c>
      <c r="Y18" s="46" t="e">
        <f>IF(AND('Mapa final'!#REF!="Alta",'Mapa final'!#REF!="Moderado"),CONCATENATE("R3C",'Mapa final'!#REF!),"")</f>
        <v>#REF!</v>
      </c>
      <c r="Z18" s="46" t="e">
        <f>IF(AND('Mapa final'!#REF!="Alta",'Mapa final'!#REF!="Moderado"),CONCATENATE("R3C",'Mapa final'!#REF!),"")</f>
        <v>#REF!</v>
      </c>
      <c r="AA18" s="47" t="e">
        <f>IF(AND('Mapa final'!#REF!="Alta",'Mapa final'!#REF!="Moderado"),CONCATENATE("R3C",'Mapa final'!#REF!),"")</f>
        <v>#REF!</v>
      </c>
      <c r="AB18" s="45" t="str">
        <f>IF(AND('Mapa final'!$AA$24="Alta",'Mapa final'!$AC$24="Mayor"),CONCATENATE("R3C",'Mapa final'!$Q$24),"")</f>
        <v/>
      </c>
      <c r="AC18" s="46" t="str">
        <f>IF(AND('Mapa final'!$AA$25="Alta",'Mapa final'!$AC$25="Mayor"),CONCATENATE("R3C",'Mapa final'!$Q$25),"")</f>
        <v/>
      </c>
      <c r="AD18" s="46" t="str">
        <f>IF(AND('Mapa final'!$AA$26="Alta",'Mapa final'!$AC$26="Mayor"),CONCATENATE("R3C",'Mapa final'!$Q$26),"")</f>
        <v/>
      </c>
      <c r="AE18" s="46" t="e">
        <f>IF(AND('Mapa final'!#REF!="Alta",'Mapa final'!#REF!="Mayor"),CONCATENATE("R3C",'Mapa final'!#REF!),"")</f>
        <v>#REF!</v>
      </c>
      <c r="AF18" s="46" t="e">
        <f>IF(AND('Mapa final'!#REF!="Alta",'Mapa final'!#REF!="Mayor"),CONCATENATE("R3C",'Mapa final'!#REF!),"")</f>
        <v>#REF!</v>
      </c>
      <c r="AG18" s="47" t="e">
        <f>IF(AND('Mapa final'!#REF!="Alta",'Mapa final'!#REF!="Mayor"),CONCATENATE("R3C",'Mapa final'!#REF!),"")</f>
        <v>#REF!</v>
      </c>
      <c r="AH18" s="48" t="str">
        <f>IF(AND('Mapa final'!$AA$24="Alta",'Mapa final'!$AC$24="Catastrófico"),CONCATENATE("R3C",'Mapa final'!$Q$24),"")</f>
        <v/>
      </c>
      <c r="AI18" s="49" t="str">
        <f>IF(AND('Mapa final'!$AA$25="Alta",'Mapa final'!$AC$25="Catastrófico"),CONCATENATE("R3C",'Mapa final'!$Q$25),"")</f>
        <v/>
      </c>
      <c r="AJ18" s="49" t="str">
        <f>IF(AND('Mapa final'!$AA$26="Alta",'Mapa final'!$AC$26="Catastrófico"),CONCATENATE("R3C",'Mapa final'!$Q$26),"")</f>
        <v/>
      </c>
      <c r="AK18" s="49" t="e">
        <f>IF(AND('Mapa final'!#REF!="Alta",'Mapa final'!#REF!="Catastrófico"),CONCATENATE("R3C",'Mapa final'!#REF!),"")</f>
        <v>#REF!</v>
      </c>
      <c r="AL18" s="49" t="e">
        <f>IF(AND('Mapa final'!#REF!="Alta",'Mapa final'!#REF!="Catastrófico"),CONCATENATE("R3C",'Mapa final'!#REF!),"")</f>
        <v>#REF!</v>
      </c>
      <c r="AM18" s="50" t="e">
        <f>IF(AND('Mapa final'!#REF!="Alta",'Mapa final'!#REF!="Catastrófico"),CONCATENATE("R3C",'Mapa final'!#REF!),"")</f>
        <v>#REF!</v>
      </c>
      <c r="AN18" s="76"/>
      <c r="AO18" s="496"/>
      <c r="AP18" s="497"/>
      <c r="AQ18" s="497"/>
      <c r="AR18" s="497"/>
      <c r="AS18" s="497"/>
      <c r="AT18" s="498"/>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row>
    <row r="19" spans="1:76" ht="15" customHeight="1" x14ac:dyDescent="0.25">
      <c r="A19" s="76"/>
      <c r="B19" s="445"/>
      <c r="C19" s="445"/>
      <c r="D19" s="446"/>
      <c r="E19" s="486"/>
      <c r="F19" s="487"/>
      <c r="G19" s="487"/>
      <c r="H19" s="487"/>
      <c r="I19" s="487"/>
      <c r="J19" s="60" t="str">
        <f>IF(AND('Mapa final'!$AA$27="Alta",'Mapa final'!$AC$27="Leve"),CONCATENATE("R4C",'Mapa final'!$Q$27),"")</f>
        <v/>
      </c>
      <c r="K19" s="61" t="str">
        <f>IF(AND('Mapa final'!$AA$29="Alta",'Mapa final'!$AC$29="Leve"),CONCATENATE("R4C",'Mapa final'!$Q$29),"")</f>
        <v/>
      </c>
      <c r="L19" s="61" t="e">
        <f>IF(AND('Mapa final'!#REF!="Alta",'Mapa final'!#REF!="Leve"),CONCATENATE("R4C",'Mapa final'!#REF!),"")</f>
        <v>#REF!</v>
      </c>
      <c r="M19" s="61" t="e">
        <f>IF(AND('Mapa final'!#REF!="Alta",'Mapa final'!#REF!="Leve"),CONCATENATE("R4C",'Mapa final'!#REF!),"")</f>
        <v>#REF!</v>
      </c>
      <c r="N19" s="61" t="e">
        <f>IF(AND('Mapa final'!#REF!="Alta",'Mapa final'!#REF!="Leve"),CONCATENATE("R4C",'Mapa final'!#REF!),"")</f>
        <v>#REF!</v>
      </c>
      <c r="O19" s="62" t="e">
        <f>IF(AND('Mapa final'!#REF!="Alta",'Mapa final'!#REF!="Leve"),CONCATENATE("R4C",'Mapa final'!#REF!),"")</f>
        <v>#REF!</v>
      </c>
      <c r="P19" s="60" t="str">
        <f>IF(AND('Mapa final'!$AA$27="Alta",'Mapa final'!$AC$27="Menor"),CONCATENATE("R4C",'Mapa final'!$Q$27),"")</f>
        <v/>
      </c>
      <c r="Q19" s="61" t="str">
        <f>IF(AND('Mapa final'!$AA$29="Alta",'Mapa final'!$AC$29="Menor"),CONCATENATE("R4C",'Mapa final'!$Q$29),"")</f>
        <v/>
      </c>
      <c r="R19" s="61" t="e">
        <f>IF(AND('Mapa final'!#REF!="Alta",'Mapa final'!#REF!="Menor"),CONCATENATE("R4C",'Mapa final'!#REF!),"")</f>
        <v>#REF!</v>
      </c>
      <c r="S19" s="61" t="e">
        <f>IF(AND('Mapa final'!#REF!="Alta",'Mapa final'!#REF!="Menor"),CONCATENATE("R4C",'Mapa final'!#REF!),"")</f>
        <v>#REF!</v>
      </c>
      <c r="T19" s="61" t="e">
        <f>IF(AND('Mapa final'!#REF!="Alta",'Mapa final'!#REF!="Menor"),CONCATENATE("R4C",'Mapa final'!#REF!),"")</f>
        <v>#REF!</v>
      </c>
      <c r="U19" s="62" t="e">
        <f>IF(AND('Mapa final'!#REF!="Alta",'Mapa final'!#REF!="Menor"),CONCATENATE("R4C",'Mapa final'!#REF!),"")</f>
        <v>#REF!</v>
      </c>
      <c r="V19" s="45" t="str">
        <f>IF(AND('Mapa final'!$AA$27="Alta",'Mapa final'!$AC$27="Moderado"),CONCATENATE("R4C",'Mapa final'!$Q$27),"")</f>
        <v/>
      </c>
      <c r="W19" s="46" t="str">
        <f>IF(AND('Mapa final'!$AA$29="Alta",'Mapa final'!$AC$29="Moderado"),CONCATENATE("R4C",'Mapa final'!$Q$29),"")</f>
        <v/>
      </c>
      <c r="X19" s="46" t="e">
        <f>IF(AND('Mapa final'!#REF!="Alta",'Mapa final'!#REF!="Moderado"),CONCATENATE("R4C",'Mapa final'!#REF!),"")</f>
        <v>#REF!</v>
      </c>
      <c r="Y19" s="46" t="e">
        <f>IF(AND('Mapa final'!#REF!="Alta",'Mapa final'!#REF!="Moderado"),CONCATENATE("R4C",'Mapa final'!#REF!),"")</f>
        <v>#REF!</v>
      </c>
      <c r="Z19" s="46" t="e">
        <f>IF(AND('Mapa final'!#REF!="Alta",'Mapa final'!#REF!="Moderado"),CONCATENATE("R4C",'Mapa final'!#REF!),"")</f>
        <v>#REF!</v>
      </c>
      <c r="AA19" s="47" t="e">
        <f>IF(AND('Mapa final'!#REF!="Alta",'Mapa final'!#REF!="Moderado"),CONCATENATE("R4C",'Mapa final'!#REF!),"")</f>
        <v>#REF!</v>
      </c>
      <c r="AB19" s="45" t="str">
        <f>IF(AND('Mapa final'!$AA$27="Alta",'Mapa final'!$AC$27="Mayor"),CONCATENATE("R4C",'Mapa final'!$Q$27),"")</f>
        <v/>
      </c>
      <c r="AC19" s="46" t="str">
        <f>IF(AND('Mapa final'!$AA$29="Alta",'Mapa final'!$AC$29="Mayor"),CONCATENATE("R4C",'Mapa final'!$Q$29),"")</f>
        <v/>
      </c>
      <c r="AD19" s="46" t="e">
        <f>IF(AND('Mapa final'!#REF!="Alta",'Mapa final'!#REF!="Mayor"),CONCATENATE("R4C",'Mapa final'!#REF!),"")</f>
        <v>#REF!</v>
      </c>
      <c r="AE19" s="46" t="e">
        <f>IF(AND('Mapa final'!#REF!="Alta",'Mapa final'!#REF!="Mayor"),CONCATENATE("R4C",'Mapa final'!#REF!),"")</f>
        <v>#REF!</v>
      </c>
      <c r="AF19" s="46" t="e">
        <f>IF(AND('Mapa final'!#REF!="Alta",'Mapa final'!#REF!="Mayor"),CONCATENATE("R4C",'Mapa final'!#REF!),"")</f>
        <v>#REF!</v>
      </c>
      <c r="AG19" s="47" t="e">
        <f>IF(AND('Mapa final'!#REF!="Alta",'Mapa final'!#REF!="Mayor"),CONCATENATE("R4C",'Mapa final'!#REF!),"")</f>
        <v>#REF!</v>
      </c>
      <c r="AH19" s="48" t="str">
        <f>IF(AND('Mapa final'!$AA$27="Alta",'Mapa final'!$AC$27="Catastrófico"),CONCATENATE("R4C",'Mapa final'!$Q$27),"")</f>
        <v/>
      </c>
      <c r="AI19" s="49" t="str">
        <f>IF(AND('Mapa final'!$AA$29="Alta",'Mapa final'!$AC$29="Catastrófico"),CONCATENATE("R4C",'Mapa final'!$Q$29),"")</f>
        <v/>
      </c>
      <c r="AJ19" s="49" t="e">
        <f>IF(AND('Mapa final'!#REF!="Alta",'Mapa final'!#REF!="Catastrófico"),CONCATENATE("R4C",'Mapa final'!#REF!),"")</f>
        <v>#REF!</v>
      </c>
      <c r="AK19" s="49" t="e">
        <f>IF(AND('Mapa final'!#REF!="Alta",'Mapa final'!#REF!="Catastrófico"),CONCATENATE("R4C",'Mapa final'!#REF!),"")</f>
        <v>#REF!</v>
      </c>
      <c r="AL19" s="49" t="e">
        <f>IF(AND('Mapa final'!#REF!="Alta",'Mapa final'!#REF!="Catastrófico"),CONCATENATE("R4C",'Mapa final'!#REF!),"")</f>
        <v>#REF!</v>
      </c>
      <c r="AM19" s="50" t="e">
        <f>IF(AND('Mapa final'!#REF!="Alta",'Mapa final'!#REF!="Catastrófico"),CONCATENATE("R4C",'Mapa final'!#REF!),"")</f>
        <v>#REF!</v>
      </c>
      <c r="AN19" s="76"/>
      <c r="AO19" s="496"/>
      <c r="AP19" s="497"/>
      <c r="AQ19" s="497"/>
      <c r="AR19" s="497"/>
      <c r="AS19" s="497"/>
      <c r="AT19" s="498"/>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row>
    <row r="20" spans="1:76" ht="15" customHeight="1" x14ac:dyDescent="0.25">
      <c r="A20" s="76"/>
      <c r="B20" s="445"/>
      <c r="C20" s="445"/>
      <c r="D20" s="446"/>
      <c r="E20" s="486"/>
      <c r="F20" s="487"/>
      <c r="G20" s="487"/>
      <c r="H20" s="487"/>
      <c r="I20" s="487"/>
      <c r="J20" s="60" t="str">
        <f>IF(AND('Mapa final'!$AA$30="Alta",'Mapa final'!$AC$30="Leve"),CONCATENATE("R5C",'Mapa final'!$Q$30),"")</f>
        <v/>
      </c>
      <c r="K20" s="61" t="e">
        <f>IF(AND('Mapa final'!#REF!="Alta",'Mapa final'!#REF!="Leve"),CONCATENATE("R5C",'Mapa final'!#REF!),"")</f>
        <v>#REF!</v>
      </c>
      <c r="L20" s="61" t="e">
        <f>IF(AND('Mapa final'!#REF!="Alta",'Mapa final'!#REF!="Leve"),CONCATENATE("R5C",'Mapa final'!#REF!),"")</f>
        <v>#REF!</v>
      </c>
      <c r="M20" s="61" t="e">
        <f>IF(AND('Mapa final'!#REF!="Alta",'Mapa final'!#REF!="Leve"),CONCATENATE("R5C",'Mapa final'!#REF!),"")</f>
        <v>#REF!</v>
      </c>
      <c r="N20" s="61" t="e">
        <f>IF(AND('Mapa final'!#REF!="Alta",'Mapa final'!#REF!="Leve"),CONCATENATE("R5C",'Mapa final'!#REF!),"")</f>
        <v>#REF!</v>
      </c>
      <c r="O20" s="62" t="e">
        <f>IF(AND('Mapa final'!#REF!="Alta",'Mapa final'!#REF!="Leve"),CONCATENATE("R5C",'Mapa final'!#REF!),"")</f>
        <v>#REF!</v>
      </c>
      <c r="P20" s="60" t="str">
        <f>IF(AND('Mapa final'!$AA$30="Alta",'Mapa final'!$AC$30="Menor"),CONCATENATE("R5C",'Mapa final'!$Q$30),"")</f>
        <v/>
      </c>
      <c r="Q20" s="61" t="e">
        <f>IF(AND('Mapa final'!#REF!="Alta",'Mapa final'!#REF!="Menor"),CONCATENATE("R5C",'Mapa final'!#REF!),"")</f>
        <v>#REF!</v>
      </c>
      <c r="R20" s="61" t="e">
        <f>IF(AND('Mapa final'!#REF!="Alta",'Mapa final'!#REF!="Menor"),CONCATENATE("R5C",'Mapa final'!#REF!),"")</f>
        <v>#REF!</v>
      </c>
      <c r="S20" s="61" t="e">
        <f>IF(AND('Mapa final'!#REF!="Alta",'Mapa final'!#REF!="Menor"),CONCATENATE("R5C",'Mapa final'!#REF!),"")</f>
        <v>#REF!</v>
      </c>
      <c r="T20" s="61" t="e">
        <f>IF(AND('Mapa final'!#REF!="Alta",'Mapa final'!#REF!="Menor"),CONCATENATE("R5C",'Mapa final'!#REF!),"")</f>
        <v>#REF!</v>
      </c>
      <c r="U20" s="62" t="e">
        <f>IF(AND('Mapa final'!#REF!="Alta",'Mapa final'!#REF!="Menor"),CONCATENATE("R5C",'Mapa final'!#REF!),"")</f>
        <v>#REF!</v>
      </c>
      <c r="V20" s="45" t="str">
        <f>IF(AND('Mapa final'!$AA$30="Alta",'Mapa final'!$AC$30="Moderado"),CONCATENATE("R5C",'Mapa final'!$Q$30),"")</f>
        <v/>
      </c>
      <c r="W20" s="46" t="e">
        <f>IF(AND('Mapa final'!#REF!="Alta",'Mapa final'!#REF!="Moderado"),CONCATENATE("R5C",'Mapa final'!#REF!),"")</f>
        <v>#REF!</v>
      </c>
      <c r="X20" s="46" t="e">
        <f>IF(AND('Mapa final'!#REF!="Alta",'Mapa final'!#REF!="Moderado"),CONCATENATE("R5C",'Mapa final'!#REF!),"")</f>
        <v>#REF!</v>
      </c>
      <c r="Y20" s="46" t="e">
        <f>IF(AND('Mapa final'!#REF!="Alta",'Mapa final'!#REF!="Moderado"),CONCATENATE("R5C",'Mapa final'!#REF!),"")</f>
        <v>#REF!</v>
      </c>
      <c r="Z20" s="46" t="e">
        <f>IF(AND('Mapa final'!#REF!="Alta",'Mapa final'!#REF!="Moderado"),CONCATENATE("R5C",'Mapa final'!#REF!),"")</f>
        <v>#REF!</v>
      </c>
      <c r="AA20" s="47" t="e">
        <f>IF(AND('Mapa final'!#REF!="Alta",'Mapa final'!#REF!="Moderado"),CONCATENATE("R5C",'Mapa final'!#REF!),"")</f>
        <v>#REF!</v>
      </c>
      <c r="AB20" s="45" t="str">
        <f>IF(AND('Mapa final'!$AA$30="Alta",'Mapa final'!$AC$30="Mayor"),CONCATENATE("R5C",'Mapa final'!$Q$30),"")</f>
        <v/>
      </c>
      <c r="AC20" s="46" t="e">
        <f>IF(AND('Mapa final'!#REF!="Alta",'Mapa final'!#REF!="Mayor"),CONCATENATE("R5C",'Mapa final'!#REF!),"")</f>
        <v>#REF!</v>
      </c>
      <c r="AD20" s="46" t="e">
        <f>IF(AND('Mapa final'!#REF!="Alta",'Mapa final'!#REF!="Mayor"),CONCATENATE("R5C",'Mapa final'!#REF!),"")</f>
        <v>#REF!</v>
      </c>
      <c r="AE20" s="46" t="e">
        <f>IF(AND('Mapa final'!#REF!="Alta",'Mapa final'!#REF!="Mayor"),CONCATENATE("R5C",'Mapa final'!#REF!),"")</f>
        <v>#REF!</v>
      </c>
      <c r="AF20" s="46" t="e">
        <f>IF(AND('Mapa final'!#REF!="Alta",'Mapa final'!#REF!="Mayor"),CONCATENATE("R5C",'Mapa final'!#REF!),"")</f>
        <v>#REF!</v>
      </c>
      <c r="AG20" s="47" t="e">
        <f>IF(AND('Mapa final'!#REF!="Alta",'Mapa final'!#REF!="Mayor"),CONCATENATE("R5C",'Mapa final'!#REF!),"")</f>
        <v>#REF!</v>
      </c>
      <c r="AH20" s="48" t="str">
        <f>IF(AND('Mapa final'!$AA$30="Alta",'Mapa final'!$AC$30="Catastrófico"),CONCATENATE("R5C",'Mapa final'!$Q$30),"")</f>
        <v/>
      </c>
      <c r="AI20" s="49" t="e">
        <f>IF(AND('Mapa final'!#REF!="Alta",'Mapa final'!#REF!="Catastrófico"),CONCATENATE("R5C",'Mapa final'!#REF!),"")</f>
        <v>#REF!</v>
      </c>
      <c r="AJ20" s="49" t="e">
        <f>IF(AND('Mapa final'!#REF!="Alta",'Mapa final'!#REF!="Catastrófico"),CONCATENATE("R5C",'Mapa final'!#REF!),"")</f>
        <v>#REF!</v>
      </c>
      <c r="AK20" s="49" t="e">
        <f>IF(AND('Mapa final'!#REF!="Alta",'Mapa final'!#REF!="Catastrófico"),CONCATENATE("R5C",'Mapa final'!#REF!),"")</f>
        <v>#REF!</v>
      </c>
      <c r="AL20" s="49" t="e">
        <f>IF(AND('Mapa final'!#REF!="Alta",'Mapa final'!#REF!="Catastrófico"),CONCATENATE("R5C",'Mapa final'!#REF!),"")</f>
        <v>#REF!</v>
      </c>
      <c r="AM20" s="50" t="e">
        <f>IF(AND('Mapa final'!#REF!="Alta",'Mapa final'!#REF!="Catastrófico"),CONCATENATE("R5C",'Mapa final'!#REF!),"")</f>
        <v>#REF!</v>
      </c>
      <c r="AN20" s="76"/>
      <c r="AO20" s="496"/>
      <c r="AP20" s="497"/>
      <c r="AQ20" s="497"/>
      <c r="AR20" s="497"/>
      <c r="AS20" s="497"/>
      <c r="AT20" s="498"/>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row>
    <row r="21" spans="1:76" ht="15" customHeight="1" x14ac:dyDescent="0.25">
      <c r="A21" s="76"/>
      <c r="B21" s="445"/>
      <c r="C21" s="445"/>
      <c r="D21" s="446"/>
      <c r="E21" s="486"/>
      <c r="F21" s="487"/>
      <c r="G21" s="487"/>
      <c r="H21" s="487"/>
      <c r="I21" s="487"/>
      <c r="J21" s="60" t="e">
        <f>IF(AND('Mapa final'!#REF!="Alta",'Mapa final'!#REF!="Leve"),CONCATENATE("R6C",'Mapa final'!#REF!),"")</f>
        <v>#REF!</v>
      </c>
      <c r="K21" s="61" t="e">
        <f>IF(AND('Mapa final'!#REF!="Alta",'Mapa final'!#REF!="Leve"),CONCATENATE("R6C",'Mapa final'!#REF!),"")</f>
        <v>#REF!</v>
      </c>
      <c r="L21" s="61" t="e">
        <f>IF(AND('Mapa final'!#REF!="Alta",'Mapa final'!#REF!="Leve"),CONCATENATE("R6C",'Mapa final'!#REF!),"")</f>
        <v>#REF!</v>
      </c>
      <c r="M21" s="61" t="e">
        <f>IF(AND('Mapa final'!#REF!="Alta",'Mapa final'!#REF!="Leve"),CONCATENATE("R6C",'Mapa final'!#REF!),"")</f>
        <v>#REF!</v>
      </c>
      <c r="N21" s="61" t="e">
        <f>IF(AND('Mapa final'!#REF!="Alta",'Mapa final'!#REF!="Leve"),CONCATENATE("R6C",'Mapa final'!#REF!),"")</f>
        <v>#REF!</v>
      </c>
      <c r="O21" s="62" t="e">
        <f>IF(AND('Mapa final'!#REF!="Alta",'Mapa final'!#REF!="Leve"),CONCATENATE("R6C",'Mapa final'!#REF!),"")</f>
        <v>#REF!</v>
      </c>
      <c r="P21" s="60" t="e">
        <f>IF(AND('Mapa final'!#REF!="Alta",'Mapa final'!#REF!="Menor"),CONCATENATE("R6C",'Mapa final'!#REF!),"")</f>
        <v>#REF!</v>
      </c>
      <c r="Q21" s="61" t="e">
        <f>IF(AND('Mapa final'!#REF!="Alta",'Mapa final'!#REF!="Menor"),CONCATENATE("R6C",'Mapa final'!#REF!),"")</f>
        <v>#REF!</v>
      </c>
      <c r="R21" s="61" t="e">
        <f>IF(AND('Mapa final'!#REF!="Alta",'Mapa final'!#REF!="Menor"),CONCATENATE("R6C",'Mapa final'!#REF!),"")</f>
        <v>#REF!</v>
      </c>
      <c r="S21" s="61" t="e">
        <f>IF(AND('Mapa final'!#REF!="Alta",'Mapa final'!#REF!="Menor"),CONCATENATE("R6C",'Mapa final'!#REF!),"")</f>
        <v>#REF!</v>
      </c>
      <c r="T21" s="61" t="e">
        <f>IF(AND('Mapa final'!#REF!="Alta",'Mapa final'!#REF!="Menor"),CONCATENATE("R6C",'Mapa final'!#REF!),"")</f>
        <v>#REF!</v>
      </c>
      <c r="U21" s="62" t="e">
        <f>IF(AND('Mapa final'!#REF!="Alta",'Mapa final'!#REF!="Menor"),CONCATENATE("R6C",'Mapa final'!#REF!),"")</f>
        <v>#REF!</v>
      </c>
      <c r="V21" s="45" t="e">
        <f>IF(AND('Mapa final'!#REF!="Alta",'Mapa final'!#REF!="Moderado"),CONCATENATE("R6C",'Mapa final'!#REF!),"")</f>
        <v>#REF!</v>
      </c>
      <c r="W21" s="46" t="e">
        <f>IF(AND('Mapa final'!#REF!="Alta",'Mapa final'!#REF!="Moderado"),CONCATENATE("R6C",'Mapa final'!#REF!),"")</f>
        <v>#REF!</v>
      </c>
      <c r="X21" s="46" t="e">
        <f>IF(AND('Mapa final'!#REF!="Alta",'Mapa final'!#REF!="Moderado"),CONCATENATE("R6C",'Mapa final'!#REF!),"")</f>
        <v>#REF!</v>
      </c>
      <c r="Y21" s="46" t="e">
        <f>IF(AND('Mapa final'!#REF!="Alta",'Mapa final'!#REF!="Moderado"),CONCATENATE("R6C",'Mapa final'!#REF!),"")</f>
        <v>#REF!</v>
      </c>
      <c r="Z21" s="46" t="e">
        <f>IF(AND('Mapa final'!#REF!="Alta",'Mapa final'!#REF!="Moderado"),CONCATENATE("R6C",'Mapa final'!#REF!),"")</f>
        <v>#REF!</v>
      </c>
      <c r="AA21" s="47" t="e">
        <f>IF(AND('Mapa final'!#REF!="Alta",'Mapa final'!#REF!="Moderado"),CONCATENATE("R6C",'Mapa final'!#REF!),"")</f>
        <v>#REF!</v>
      </c>
      <c r="AB21" s="45" t="e">
        <f>IF(AND('Mapa final'!#REF!="Alta",'Mapa final'!#REF!="Mayor"),CONCATENATE("R6C",'Mapa final'!#REF!),"")</f>
        <v>#REF!</v>
      </c>
      <c r="AC21" s="46" t="e">
        <f>IF(AND('Mapa final'!#REF!="Alta",'Mapa final'!#REF!="Mayor"),CONCATENATE("R6C",'Mapa final'!#REF!),"")</f>
        <v>#REF!</v>
      </c>
      <c r="AD21" s="46" t="e">
        <f>IF(AND('Mapa final'!#REF!="Alta",'Mapa final'!#REF!="Mayor"),CONCATENATE("R6C",'Mapa final'!#REF!),"")</f>
        <v>#REF!</v>
      </c>
      <c r="AE21" s="46" t="e">
        <f>IF(AND('Mapa final'!#REF!="Alta",'Mapa final'!#REF!="Mayor"),CONCATENATE("R6C",'Mapa final'!#REF!),"")</f>
        <v>#REF!</v>
      </c>
      <c r="AF21" s="46" t="e">
        <f>IF(AND('Mapa final'!#REF!="Alta",'Mapa final'!#REF!="Mayor"),CONCATENATE("R6C",'Mapa final'!#REF!),"")</f>
        <v>#REF!</v>
      </c>
      <c r="AG21" s="47" t="e">
        <f>IF(AND('Mapa final'!#REF!="Alta",'Mapa final'!#REF!="Mayor"),CONCATENATE("R6C",'Mapa final'!#REF!),"")</f>
        <v>#REF!</v>
      </c>
      <c r="AH21" s="48" t="e">
        <f>IF(AND('Mapa final'!#REF!="Alta",'Mapa final'!#REF!="Catastrófico"),CONCATENATE("R6C",'Mapa final'!#REF!),"")</f>
        <v>#REF!</v>
      </c>
      <c r="AI21" s="49" t="e">
        <f>IF(AND('Mapa final'!#REF!="Alta",'Mapa final'!#REF!="Catastrófico"),CONCATENATE("R6C",'Mapa final'!#REF!),"")</f>
        <v>#REF!</v>
      </c>
      <c r="AJ21" s="49" t="e">
        <f>IF(AND('Mapa final'!#REF!="Alta",'Mapa final'!#REF!="Catastrófico"),CONCATENATE("R6C",'Mapa final'!#REF!),"")</f>
        <v>#REF!</v>
      </c>
      <c r="AK21" s="49" t="e">
        <f>IF(AND('Mapa final'!#REF!="Alta",'Mapa final'!#REF!="Catastrófico"),CONCATENATE("R6C",'Mapa final'!#REF!),"")</f>
        <v>#REF!</v>
      </c>
      <c r="AL21" s="49" t="e">
        <f>IF(AND('Mapa final'!#REF!="Alta",'Mapa final'!#REF!="Catastrófico"),CONCATENATE("R6C",'Mapa final'!#REF!),"")</f>
        <v>#REF!</v>
      </c>
      <c r="AM21" s="50" t="e">
        <f>IF(AND('Mapa final'!#REF!="Alta",'Mapa final'!#REF!="Catastrófico"),CONCATENATE("R6C",'Mapa final'!#REF!),"")</f>
        <v>#REF!</v>
      </c>
      <c r="AN21" s="76"/>
      <c r="AO21" s="496"/>
      <c r="AP21" s="497"/>
      <c r="AQ21" s="497"/>
      <c r="AR21" s="497"/>
      <c r="AS21" s="497"/>
      <c r="AT21" s="498"/>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row>
    <row r="22" spans="1:76" ht="15" customHeight="1" x14ac:dyDescent="0.25">
      <c r="A22" s="76"/>
      <c r="B22" s="445"/>
      <c r="C22" s="445"/>
      <c r="D22" s="446"/>
      <c r="E22" s="486"/>
      <c r="F22" s="487"/>
      <c r="G22" s="487"/>
      <c r="H22" s="487"/>
      <c r="I22" s="487"/>
      <c r="J22" s="60" t="e">
        <f>IF(AND('Mapa final'!#REF!="Alta",'Mapa final'!#REF!="Leve"),CONCATENATE("R7C",'Mapa final'!#REF!),"")</f>
        <v>#REF!</v>
      </c>
      <c r="K22" s="61" t="e">
        <f>IF(AND('Mapa final'!#REF!="Alta",'Mapa final'!#REF!="Leve"),CONCATENATE("R7C",'Mapa final'!#REF!),"")</f>
        <v>#REF!</v>
      </c>
      <c r="L22" s="61" t="e">
        <f>IF(AND('Mapa final'!#REF!="Alta",'Mapa final'!#REF!="Leve"),CONCATENATE("R7C",'Mapa final'!#REF!),"")</f>
        <v>#REF!</v>
      </c>
      <c r="M22" s="61" t="e">
        <f>IF(AND('Mapa final'!#REF!="Alta",'Mapa final'!#REF!="Leve"),CONCATENATE("R7C",'Mapa final'!#REF!),"")</f>
        <v>#REF!</v>
      </c>
      <c r="N22" s="61" t="e">
        <f>IF(AND('Mapa final'!#REF!="Alta",'Mapa final'!#REF!="Leve"),CONCATENATE("R7C",'Mapa final'!#REF!),"")</f>
        <v>#REF!</v>
      </c>
      <c r="O22" s="62" t="e">
        <f>IF(AND('Mapa final'!#REF!="Alta",'Mapa final'!#REF!="Leve"),CONCATENATE("R7C",'Mapa final'!#REF!),"")</f>
        <v>#REF!</v>
      </c>
      <c r="P22" s="60" t="e">
        <f>IF(AND('Mapa final'!#REF!="Alta",'Mapa final'!#REF!="Menor"),CONCATENATE("R7C",'Mapa final'!#REF!),"")</f>
        <v>#REF!</v>
      </c>
      <c r="Q22" s="61" t="e">
        <f>IF(AND('Mapa final'!#REF!="Alta",'Mapa final'!#REF!="Menor"),CONCATENATE("R7C",'Mapa final'!#REF!),"")</f>
        <v>#REF!</v>
      </c>
      <c r="R22" s="61" t="e">
        <f>IF(AND('Mapa final'!#REF!="Alta",'Mapa final'!#REF!="Menor"),CONCATENATE("R7C",'Mapa final'!#REF!),"")</f>
        <v>#REF!</v>
      </c>
      <c r="S22" s="61" t="e">
        <f>IF(AND('Mapa final'!#REF!="Alta",'Mapa final'!#REF!="Menor"),CONCATENATE("R7C",'Mapa final'!#REF!),"")</f>
        <v>#REF!</v>
      </c>
      <c r="T22" s="61" t="e">
        <f>IF(AND('Mapa final'!#REF!="Alta",'Mapa final'!#REF!="Menor"),CONCATENATE("R7C",'Mapa final'!#REF!),"")</f>
        <v>#REF!</v>
      </c>
      <c r="U22" s="62" t="e">
        <f>IF(AND('Mapa final'!#REF!="Alta",'Mapa final'!#REF!="Menor"),CONCATENATE("R7C",'Mapa final'!#REF!),"")</f>
        <v>#REF!</v>
      </c>
      <c r="V22" s="45" t="e">
        <f>IF(AND('Mapa final'!#REF!="Alta",'Mapa final'!#REF!="Moderado"),CONCATENATE("R7C",'Mapa final'!#REF!),"")</f>
        <v>#REF!</v>
      </c>
      <c r="W22" s="46" t="e">
        <f>IF(AND('Mapa final'!#REF!="Alta",'Mapa final'!#REF!="Moderado"),CONCATENATE("R7C",'Mapa final'!#REF!),"")</f>
        <v>#REF!</v>
      </c>
      <c r="X22" s="46" t="e">
        <f>IF(AND('Mapa final'!#REF!="Alta",'Mapa final'!#REF!="Moderado"),CONCATENATE("R7C",'Mapa final'!#REF!),"")</f>
        <v>#REF!</v>
      </c>
      <c r="Y22" s="46" t="e">
        <f>IF(AND('Mapa final'!#REF!="Alta",'Mapa final'!#REF!="Moderado"),CONCATENATE("R7C",'Mapa final'!#REF!),"")</f>
        <v>#REF!</v>
      </c>
      <c r="Z22" s="46" t="e">
        <f>IF(AND('Mapa final'!#REF!="Alta",'Mapa final'!#REF!="Moderado"),CONCATENATE("R7C",'Mapa final'!#REF!),"")</f>
        <v>#REF!</v>
      </c>
      <c r="AA22" s="47" t="e">
        <f>IF(AND('Mapa final'!#REF!="Alta",'Mapa final'!#REF!="Moderado"),CONCATENATE("R7C",'Mapa final'!#REF!),"")</f>
        <v>#REF!</v>
      </c>
      <c r="AB22" s="45" t="e">
        <f>IF(AND('Mapa final'!#REF!="Alta",'Mapa final'!#REF!="Mayor"),CONCATENATE("R7C",'Mapa final'!#REF!),"")</f>
        <v>#REF!</v>
      </c>
      <c r="AC22" s="46" t="e">
        <f>IF(AND('Mapa final'!#REF!="Alta",'Mapa final'!#REF!="Mayor"),CONCATENATE("R7C",'Mapa final'!#REF!),"")</f>
        <v>#REF!</v>
      </c>
      <c r="AD22" s="46" t="e">
        <f>IF(AND('Mapa final'!#REF!="Alta",'Mapa final'!#REF!="Mayor"),CONCATENATE("R7C",'Mapa final'!#REF!),"")</f>
        <v>#REF!</v>
      </c>
      <c r="AE22" s="46" t="e">
        <f>IF(AND('Mapa final'!#REF!="Alta",'Mapa final'!#REF!="Mayor"),CONCATENATE("R7C",'Mapa final'!#REF!),"")</f>
        <v>#REF!</v>
      </c>
      <c r="AF22" s="46" t="e">
        <f>IF(AND('Mapa final'!#REF!="Alta",'Mapa final'!#REF!="Mayor"),CONCATENATE("R7C",'Mapa final'!#REF!),"")</f>
        <v>#REF!</v>
      </c>
      <c r="AG22" s="47" t="e">
        <f>IF(AND('Mapa final'!#REF!="Alta",'Mapa final'!#REF!="Mayor"),CONCATENATE("R7C",'Mapa final'!#REF!),"")</f>
        <v>#REF!</v>
      </c>
      <c r="AH22" s="48" t="e">
        <f>IF(AND('Mapa final'!#REF!="Alta",'Mapa final'!#REF!="Catastrófico"),CONCATENATE("R7C",'Mapa final'!#REF!),"")</f>
        <v>#REF!</v>
      </c>
      <c r="AI22" s="49" t="e">
        <f>IF(AND('Mapa final'!#REF!="Alta",'Mapa final'!#REF!="Catastrófico"),CONCATENATE("R7C",'Mapa final'!#REF!),"")</f>
        <v>#REF!</v>
      </c>
      <c r="AJ22" s="49" t="e">
        <f>IF(AND('Mapa final'!#REF!="Alta",'Mapa final'!#REF!="Catastrófico"),CONCATENATE("R7C",'Mapa final'!#REF!),"")</f>
        <v>#REF!</v>
      </c>
      <c r="AK22" s="49" t="e">
        <f>IF(AND('Mapa final'!#REF!="Alta",'Mapa final'!#REF!="Catastrófico"),CONCATENATE("R7C",'Mapa final'!#REF!),"")</f>
        <v>#REF!</v>
      </c>
      <c r="AL22" s="49" t="e">
        <f>IF(AND('Mapa final'!#REF!="Alta",'Mapa final'!#REF!="Catastrófico"),CONCATENATE("R7C",'Mapa final'!#REF!),"")</f>
        <v>#REF!</v>
      </c>
      <c r="AM22" s="50" t="e">
        <f>IF(AND('Mapa final'!#REF!="Alta",'Mapa final'!#REF!="Catastrófico"),CONCATENATE("R7C",'Mapa final'!#REF!),"")</f>
        <v>#REF!</v>
      </c>
      <c r="AN22" s="76"/>
      <c r="AO22" s="496"/>
      <c r="AP22" s="497"/>
      <c r="AQ22" s="497"/>
      <c r="AR22" s="497"/>
      <c r="AS22" s="497"/>
      <c r="AT22" s="498"/>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row>
    <row r="23" spans="1:76" ht="15" customHeight="1" x14ac:dyDescent="0.25">
      <c r="A23" s="76"/>
      <c r="B23" s="445"/>
      <c r="C23" s="445"/>
      <c r="D23" s="446"/>
      <c r="E23" s="486"/>
      <c r="F23" s="487"/>
      <c r="G23" s="487"/>
      <c r="H23" s="487"/>
      <c r="I23" s="487"/>
      <c r="J23" s="60" t="e">
        <f>IF(AND('Mapa final'!#REF!="Alta",'Mapa final'!#REF!="Leve"),CONCATENATE("R8C",'Mapa final'!#REF!),"")</f>
        <v>#REF!</v>
      </c>
      <c r="K23" s="61" t="e">
        <f>IF(AND('Mapa final'!#REF!="Alta",'Mapa final'!#REF!="Leve"),CONCATENATE("R8C",'Mapa final'!#REF!),"")</f>
        <v>#REF!</v>
      </c>
      <c r="L23" s="61" t="e">
        <f>IF(AND('Mapa final'!#REF!="Alta",'Mapa final'!#REF!="Leve"),CONCATENATE("R8C",'Mapa final'!#REF!),"")</f>
        <v>#REF!</v>
      </c>
      <c r="M23" s="61" t="e">
        <f>IF(AND('Mapa final'!#REF!="Alta",'Mapa final'!#REF!="Leve"),CONCATENATE("R8C",'Mapa final'!#REF!),"")</f>
        <v>#REF!</v>
      </c>
      <c r="N23" s="61" t="e">
        <f>IF(AND('Mapa final'!#REF!="Alta",'Mapa final'!#REF!="Leve"),CONCATENATE("R8C",'Mapa final'!#REF!),"")</f>
        <v>#REF!</v>
      </c>
      <c r="O23" s="62" t="e">
        <f>IF(AND('Mapa final'!#REF!="Alta",'Mapa final'!#REF!="Leve"),CONCATENATE("R8C",'Mapa final'!#REF!),"")</f>
        <v>#REF!</v>
      </c>
      <c r="P23" s="60" t="e">
        <f>IF(AND('Mapa final'!#REF!="Alta",'Mapa final'!#REF!="Menor"),CONCATENATE("R8C",'Mapa final'!#REF!),"")</f>
        <v>#REF!</v>
      </c>
      <c r="Q23" s="61" t="e">
        <f>IF(AND('Mapa final'!#REF!="Alta",'Mapa final'!#REF!="Menor"),CONCATENATE("R8C",'Mapa final'!#REF!),"")</f>
        <v>#REF!</v>
      </c>
      <c r="R23" s="61" t="e">
        <f>IF(AND('Mapa final'!#REF!="Alta",'Mapa final'!#REF!="Menor"),CONCATENATE("R8C",'Mapa final'!#REF!),"")</f>
        <v>#REF!</v>
      </c>
      <c r="S23" s="61" t="e">
        <f>IF(AND('Mapa final'!#REF!="Alta",'Mapa final'!#REF!="Menor"),CONCATENATE("R8C",'Mapa final'!#REF!),"")</f>
        <v>#REF!</v>
      </c>
      <c r="T23" s="61" t="e">
        <f>IF(AND('Mapa final'!#REF!="Alta",'Mapa final'!#REF!="Menor"),CONCATENATE("R8C",'Mapa final'!#REF!),"")</f>
        <v>#REF!</v>
      </c>
      <c r="U23" s="62" t="e">
        <f>IF(AND('Mapa final'!#REF!="Alta",'Mapa final'!#REF!="Menor"),CONCATENATE("R8C",'Mapa final'!#REF!),"")</f>
        <v>#REF!</v>
      </c>
      <c r="V23" s="45" t="e">
        <f>IF(AND('Mapa final'!#REF!="Alta",'Mapa final'!#REF!="Moderado"),CONCATENATE("R8C",'Mapa final'!#REF!),"")</f>
        <v>#REF!</v>
      </c>
      <c r="W23" s="46" t="e">
        <f>IF(AND('Mapa final'!#REF!="Alta",'Mapa final'!#REF!="Moderado"),CONCATENATE("R8C",'Mapa final'!#REF!),"")</f>
        <v>#REF!</v>
      </c>
      <c r="X23" s="46" t="e">
        <f>IF(AND('Mapa final'!#REF!="Alta",'Mapa final'!#REF!="Moderado"),CONCATENATE("R8C",'Mapa final'!#REF!),"")</f>
        <v>#REF!</v>
      </c>
      <c r="Y23" s="46" t="e">
        <f>IF(AND('Mapa final'!#REF!="Alta",'Mapa final'!#REF!="Moderado"),CONCATENATE("R8C",'Mapa final'!#REF!),"")</f>
        <v>#REF!</v>
      </c>
      <c r="Z23" s="46" t="e">
        <f>IF(AND('Mapa final'!#REF!="Alta",'Mapa final'!#REF!="Moderado"),CONCATENATE("R8C",'Mapa final'!#REF!),"")</f>
        <v>#REF!</v>
      </c>
      <c r="AA23" s="47" t="e">
        <f>IF(AND('Mapa final'!#REF!="Alta",'Mapa final'!#REF!="Moderado"),CONCATENATE("R8C",'Mapa final'!#REF!),"")</f>
        <v>#REF!</v>
      </c>
      <c r="AB23" s="45" t="e">
        <f>IF(AND('Mapa final'!#REF!="Alta",'Mapa final'!#REF!="Mayor"),CONCATENATE("R8C",'Mapa final'!#REF!),"")</f>
        <v>#REF!</v>
      </c>
      <c r="AC23" s="46" t="e">
        <f>IF(AND('Mapa final'!#REF!="Alta",'Mapa final'!#REF!="Mayor"),CONCATENATE("R8C",'Mapa final'!#REF!),"")</f>
        <v>#REF!</v>
      </c>
      <c r="AD23" s="46" t="e">
        <f>IF(AND('Mapa final'!#REF!="Alta",'Mapa final'!#REF!="Mayor"),CONCATENATE("R8C",'Mapa final'!#REF!),"")</f>
        <v>#REF!</v>
      </c>
      <c r="AE23" s="46" t="e">
        <f>IF(AND('Mapa final'!#REF!="Alta",'Mapa final'!#REF!="Mayor"),CONCATENATE("R8C",'Mapa final'!#REF!),"")</f>
        <v>#REF!</v>
      </c>
      <c r="AF23" s="46" t="e">
        <f>IF(AND('Mapa final'!#REF!="Alta",'Mapa final'!#REF!="Mayor"),CONCATENATE("R8C",'Mapa final'!#REF!),"")</f>
        <v>#REF!</v>
      </c>
      <c r="AG23" s="47" t="e">
        <f>IF(AND('Mapa final'!#REF!="Alta",'Mapa final'!#REF!="Mayor"),CONCATENATE("R8C",'Mapa final'!#REF!),"")</f>
        <v>#REF!</v>
      </c>
      <c r="AH23" s="48" t="e">
        <f>IF(AND('Mapa final'!#REF!="Alta",'Mapa final'!#REF!="Catastrófico"),CONCATENATE("R8C",'Mapa final'!#REF!),"")</f>
        <v>#REF!</v>
      </c>
      <c r="AI23" s="49" t="e">
        <f>IF(AND('Mapa final'!#REF!="Alta",'Mapa final'!#REF!="Catastrófico"),CONCATENATE("R8C",'Mapa final'!#REF!),"")</f>
        <v>#REF!</v>
      </c>
      <c r="AJ23" s="49" t="e">
        <f>IF(AND('Mapa final'!#REF!="Alta",'Mapa final'!#REF!="Catastrófico"),CONCATENATE("R8C",'Mapa final'!#REF!),"")</f>
        <v>#REF!</v>
      </c>
      <c r="AK23" s="49" t="e">
        <f>IF(AND('Mapa final'!#REF!="Alta",'Mapa final'!#REF!="Catastrófico"),CONCATENATE("R8C",'Mapa final'!#REF!),"")</f>
        <v>#REF!</v>
      </c>
      <c r="AL23" s="49" t="e">
        <f>IF(AND('Mapa final'!#REF!="Alta",'Mapa final'!#REF!="Catastrófico"),CONCATENATE("R8C",'Mapa final'!#REF!),"")</f>
        <v>#REF!</v>
      </c>
      <c r="AM23" s="50" t="e">
        <f>IF(AND('Mapa final'!#REF!="Alta",'Mapa final'!#REF!="Catastrófico"),CONCATENATE("R8C",'Mapa final'!#REF!),"")</f>
        <v>#REF!</v>
      </c>
      <c r="AN23" s="76"/>
      <c r="AO23" s="496"/>
      <c r="AP23" s="497"/>
      <c r="AQ23" s="497"/>
      <c r="AR23" s="497"/>
      <c r="AS23" s="497"/>
      <c r="AT23" s="498"/>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row>
    <row r="24" spans="1:76" ht="15" customHeight="1" x14ac:dyDescent="0.25">
      <c r="A24" s="76"/>
      <c r="B24" s="445"/>
      <c r="C24" s="445"/>
      <c r="D24" s="446"/>
      <c r="E24" s="486"/>
      <c r="F24" s="487"/>
      <c r="G24" s="487"/>
      <c r="H24" s="487"/>
      <c r="I24" s="487"/>
      <c r="J24" s="60" t="e">
        <f>IF(AND('Mapa final'!#REF!="Alta",'Mapa final'!#REF!="Leve"),CONCATENATE("R9C",'Mapa final'!#REF!),"")</f>
        <v>#REF!</v>
      </c>
      <c r="K24" s="61" t="e">
        <f>IF(AND('Mapa final'!#REF!="Alta",'Mapa final'!#REF!="Leve"),CONCATENATE("R9C",'Mapa final'!#REF!),"")</f>
        <v>#REF!</v>
      </c>
      <c r="L24" s="61" t="e">
        <f>IF(AND('Mapa final'!#REF!="Alta",'Mapa final'!#REF!="Leve"),CONCATENATE("R9C",'Mapa final'!#REF!),"")</f>
        <v>#REF!</v>
      </c>
      <c r="M24" s="61" t="e">
        <f>IF(AND('Mapa final'!#REF!="Alta",'Mapa final'!#REF!="Leve"),CONCATENATE("R9C",'Mapa final'!#REF!),"")</f>
        <v>#REF!</v>
      </c>
      <c r="N24" s="61" t="e">
        <f>IF(AND('Mapa final'!#REF!="Alta",'Mapa final'!#REF!="Leve"),CONCATENATE("R9C",'Mapa final'!#REF!),"")</f>
        <v>#REF!</v>
      </c>
      <c r="O24" s="62" t="e">
        <f>IF(AND('Mapa final'!#REF!="Alta",'Mapa final'!#REF!="Leve"),CONCATENATE("R9C",'Mapa final'!#REF!),"")</f>
        <v>#REF!</v>
      </c>
      <c r="P24" s="60" t="e">
        <f>IF(AND('Mapa final'!#REF!="Alta",'Mapa final'!#REF!="Menor"),CONCATENATE("R9C",'Mapa final'!#REF!),"")</f>
        <v>#REF!</v>
      </c>
      <c r="Q24" s="61" t="e">
        <f>IF(AND('Mapa final'!#REF!="Alta",'Mapa final'!#REF!="Menor"),CONCATENATE("R9C",'Mapa final'!#REF!),"")</f>
        <v>#REF!</v>
      </c>
      <c r="R24" s="61" t="e">
        <f>IF(AND('Mapa final'!#REF!="Alta",'Mapa final'!#REF!="Menor"),CONCATENATE("R9C",'Mapa final'!#REF!),"")</f>
        <v>#REF!</v>
      </c>
      <c r="S24" s="61" t="e">
        <f>IF(AND('Mapa final'!#REF!="Alta",'Mapa final'!#REF!="Menor"),CONCATENATE("R9C",'Mapa final'!#REF!),"")</f>
        <v>#REF!</v>
      </c>
      <c r="T24" s="61" t="e">
        <f>IF(AND('Mapa final'!#REF!="Alta",'Mapa final'!#REF!="Menor"),CONCATENATE("R9C",'Mapa final'!#REF!),"")</f>
        <v>#REF!</v>
      </c>
      <c r="U24" s="62" t="e">
        <f>IF(AND('Mapa final'!#REF!="Alta",'Mapa final'!#REF!="Menor"),CONCATENATE("R9C",'Mapa final'!#REF!),"")</f>
        <v>#REF!</v>
      </c>
      <c r="V24" s="45" t="e">
        <f>IF(AND('Mapa final'!#REF!="Alta",'Mapa final'!#REF!="Moderado"),CONCATENATE("R9C",'Mapa final'!#REF!),"")</f>
        <v>#REF!</v>
      </c>
      <c r="W24" s="46" t="e">
        <f>IF(AND('Mapa final'!#REF!="Alta",'Mapa final'!#REF!="Moderado"),CONCATENATE("R9C",'Mapa final'!#REF!),"")</f>
        <v>#REF!</v>
      </c>
      <c r="X24" s="46" t="e">
        <f>IF(AND('Mapa final'!#REF!="Alta",'Mapa final'!#REF!="Moderado"),CONCATENATE("R9C",'Mapa final'!#REF!),"")</f>
        <v>#REF!</v>
      </c>
      <c r="Y24" s="46" t="e">
        <f>IF(AND('Mapa final'!#REF!="Alta",'Mapa final'!#REF!="Moderado"),CONCATENATE("R9C",'Mapa final'!#REF!),"")</f>
        <v>#REF!</v>
      </c>
      <c r="Z24" s="46" t="e">
        <f>IF(AND('Mapa final'!#REF!="Alta",'Mapa final'!#REF!="Moderado"),CONCATENATE("R9C",'Mapa final'!#REF!),"")</f>
        <v>#REF!</v>
      </c>
      <c r="AA24" s="47" t="e">
        <f>IF(AND('Mapa final'!#REF!="Alta",'Mapa final'!#REF!="Moderado"),CONCATENATE("R9C",'Mapa final'!#REF!),"")</f>
        <v>#REF!</v>
      </c>
      <c r="AB24" s="45" t="e">
        <f>IF(AND('Mapa final'!#REF!="Alta",'Mapa final'!#REF!="Mayor"),CONCATENATE("R9C",'Mapa final'!#REF!),"")</f>
        <v>#REF!</v>
      </c>
      <c r="AC24" s="46" t="e">
        <f>IF(AND('Mapa final'!#REF!="Alta",'Mapa final'!#REF!="Mayor"),CONCATENATE("R9C",'Mapa final'!#REF!),"")</f>
        <v>#REF!</v>
      </c>
      <c r="AD24" s="46" t="e">
        <f>IF(AND('Mapa final'!#REF!="Alta",'Mapa final'!#REF!="Mayor"),CONCATENATE("R9C",'Mapa final'!#REF!),"")</f>
        <v>#REF!</v>
      </c>
      <c r="AE24" s="46" t="e">
        <f>IF(AND('Mapa final'!#REF!="Alta",'Mapa final'!#REF!="Mayor"),CONCATENATE("R9C",'Mapa final'!#REF!),"")</f>
        <v>#REF!</v>
      </c>
      <c r="AF24" s="46" t="e">
        <f>IF(AND('Mapa final'!#REF!="Alta",'Mapa final'!#REF!="Mayor"),CONCATENATE("R9C",'Mapa final'!#REF!),"")</f>
        <v>#REF!</v>
      </c>
      <c r="AG24" s="47" t="e">
        <f>IF(AND('Mapa final'!#REF!="Alta",'Mapa final'!#REF!="Mayor"),CONCATENATE("R9C",'Mapa final'!#REF!),"")</f>
        <v>#REF!</v>
      </c>
      <c r="AH24" s="48" t="e">
        <f>IF(AND('Mapa final'!#REF!="Alta",'Mapa final'!#REF!="Catastrófico"),CONCATENATE("R9C",'Mapa final'!#REF!),"")</f>
        <v>#REF!</v>
      </c>
      <c r="AI24" s="49" t="e">
        <f>IF(AND('Mapa final'!#REF!="Alta",'Mapa final'!#REF!="Catastrófico"),CONCATENATE("R9C",'Mapa final'!#REF!),"")</f>
        <v>#REF!</v>
      </c>
      <c r="AJ24" s="49" t="e">
        <f>IF(AND('Mapa final'!#REF!="Alta",'Mapa final'!#REF!="Catastrófico"),CONCATENATE("R9C",'Mapa final'!#REF!),"")</f>
        <v>#REF!</v>
      </c>
      <c r="AK24" s="49" t="e">
        <f>IF(AND('Mapa final'!#REF!="Alta",'Mapa final'!#REF!="Catastrófico"),CONCATENATE("R9C",'Mapa final'!#REF!),"")</f>
        <v>#REF!</v>
      </c>
      <c r="AL24" s="49" t="e">
        <f>IF(AND('Mapa final'!#REF!="Alta",'Mapa final'!#REF!="Catastrófico"),CONCATENATE("R9C",'Mapa final'!#REF!),"")</f>
        <v>#REF!</v>
      </c>
      <c r="AM24" s="50" t="e">
        <f>IF(AND('Mapa final'!#REF!="Alta",'Mapa final'!#REF!="Catastrófico"),CONCATENATE("R9C",'Mapa final'!#REF!),"")</f>
        <v>#REF!</v>
      </c>
      <c r="AN24" s="76"/>
      <c r="AO24" s="496"/>
      <c r="AP24" s="497"/>
      <c r="AQ24" s="497"/>
      <c r="AR24" s="497"/>
      <c r="AS24" s="497"/>
      <c r="AT24" s="498"/>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row>
    <row r="25" spans="1:76" ht="15.75" customHeight="1" thickBot="1" x14ac:dyDescent="0.3">
      <c r="A25" s="76"/>
      <c r="B25" s="445"/>
      <c r="C25" s="445"/>
      <c r="D25" s="446"/>
      <c r="E25" s="489"/>
      <c r="F25" s="490"/>
      <c r="G25" s="490"/>
      <c r="H25" s="490"/>
      <c r="I25" s="490"/>
      <c r="J25" s="63" t="e">
        <f>IF(AND('Mapa final'!#REF!="Alta",'Mapa final'!#REF!="Leve"),CONCATENATE("R10C",'Mapa final'!#REF!),"")</f>
        <v>#REF!</v>
      </c>
      <c r="K25" s="64" t="e">
        <f>IF(AND('Mapa final'!#REF!="Alta",'Mapa final'!#REF!="Leve"),CONCATENATE("R10C",'Mapa final'!#REF!),"")</f>
        <v>#REF!</v>
      </c>
      <c r="L25" s="64" t="e">
        <f>IF(AND('Mapa final'!#REF!="Alta",'Mapa final'!#REF!="Leve"),CONCATENATE("R10C",'Mapa final'!#REF!),"")</f>
        <v>#REF!</v>
      </c>
      <c r="M25" s="64" t="e">
        <f>IF(AND('Mapa final'!#REF!="Alta",'Mapa final'!#REF!="Leve"),CONCATENATE("R10C",'Mapa final'!#REF!),"")</f>
        <v>#REF!</v>
      </c>
      <c r="N25" s="64" t="e">
        <f>IF(AND('Mapa final'!#REF!="Alta",'Mapa final'!#REF!="Leve"),CONCATENATE("R10C",'Mapa final'!#REF!),"")</f>
        <v>#REF!</v>
      </c>
      <c r="O25" s="65" t="e">
        <f>IF(AND('Mapa final'!#REF!="Alta",'Mapa final'!#REF!="Leve"),CONCATENATE("R10C",'Mapa final'!#REF!),"")</f>
        <v>#REF!</v>
      </c>
      <c r="P25" s="63" t="e">
        <f>IF(AND('Mapa final'!#REF!="Alta",'Mapa final'!#REF!="Menor"),CONCATENATE("R10C",'Mapa final'!#REF!),"")</f>
        <v>#REF!</v>
      </c>
      <c r="Q25" s="64" t="e">
        <f>IF(AND('Mapa final'!#REF!="Alta",'Mapa final'!#REF!="Menor"),CONCATENATE("R10C",'Mapa final'!#REF!),"")</f>
        <v>#REF!</v>
      </c>
      <c r="R25" s="64" t="e">
        <f>IF(AND('Mapa final'!#REF!="Alta",'Mapa final'!#REF!="Menor"),CONCATENATE("R10C",'Mapa final'!#REF!),"")</f>
        <v>#REF!</v>
      </c>
      <c r="S25" s="64" t="e">
        <f>IF(AND('Mapa final'!#REF!="Alta",'Mapa final'!#REF!="Menor"),CONCATENATE("R10C",'Mapa final'!#REF!),"")</f>
        <v>#REF!</v>
      </c>
      <c r="T25" s="64" t="e">
        <f>IF(AND('Mapa final'!#REF!="Alta",'Mapa final'!#REF!="Menor"),CONCATENATE("R10C",'Mapa final'!#REF!),"")</f>
        <v>#REF!</v>
      </c>
      <c r="U25" s="65" t="e">
        <f>IF(AND('Mapa final'!#REF!="Alta",'Mapa final'!#REF!="Menor"),CONCATENATE("R10C",'Mapa final'!#REF!),"")</f>
        <v>#REF!</v>
      </c>
      <c r="V25" s="51" t="e">
        <f>IF(AND('Mapa final'!#REF!="Alta",'Mapa final'!#REF!="Moderado"),CONCATENATE("R10C",'Mapa final'!#REF!),"")</f>
        <v>#REF!</v>
      </c>
      <c r="W25" s="52" t="e">
        <f>IF(AND('Mapa final'!#REF!="Alta",'Mapa final'!#REF!="Moderado"),CONCATENATE("R10C",'Mapa final'!#REF!),"")</f>
        <v>#REF!</v>
      </c>
      <c r="X25" s="52" t="e">
        <f>IF(AND('Mapa final'!#REF!="Alta",'Mapa final'!#REF!="Moderado"),CONCATENATE("R10C",'Mapa final'!#REF!),"")</f>
        <v>#REF!</v>
      </c>
      <c r="Y25" s="52" t="e">
        <f>IF(AND('Mapa final'!#REF!="Alta",'Mapa final'!#REF!="Moderado"),CONCATENATE("R10C",'Mapa final'!#REF!),"")</f>
        <v>#REF!</v>
      </c>
      <c r="Z25" s="52" t="e">
        <f>IF(AND('Mapa final'!#REF!="Alta",'Mapa final'!#REF!="Moderado"),CONCATENATE("R10C",'Mapa final'!#REF!),"")</f>
        <v>#REF!</v>
      </c>
      <c r="AA25" s="53" t="e">
        <f>IF(AND('Mapa final'!#REF!="Alta",'Mapa final'!#REF!="Moderado"),CONCATENATE("R10C",'Mapa final'!#REF!),"")</f>
        <v>#REF!</v>
      </c>
      <c r="AB25" s="51" t="e">
        <f>IF(AND('Mapa final'!#REF!="Alta",'Mapa final'!#REF!="Mayor"),CONCATENATE("R10C",'Mapa final'!#REF!),"")</f>
        <v>#REF!</v>
      </c>
      <c r="AC25" s="52" t="e">
        <f>IF(AND('Mapa final'!#REF!="Alta",'Mapa final'!#REF!="Mayor"),CONCATENATE("R10C",'Mapa final'!#REF!),"")</f>
        <v>#REF!</v>
      </c>
      <c r="AD25" s="52" t="e">
        <f>IF(AND('Mapa final'!#REF!="Alta",'Mapa final'!#REF!="Mayor"),CONCATENATE("R10C",'Mapa final'!#REF!),"")</f>
        <v>#REF!</v>
      </c>
      <c r="AE25" s="52" t="e">
        <f>IF(AND('Mapa final'!#REF!="Alta",'Mapa final'!#REF!="Mayor"),CONCATENATE("R10C",'Mapa final'!#REF!),"")</f>
        <v>#REF!</v>
      </c>
      <c r="AF25" s="52" t="e">
        <f>IF(AND('Mapa final'!#REF!="Alta",'Mapa final'!#REF!="Mayor"),CONCATENATE("R10C",'Mapa final'!#REF!),"")</f>
        <v>#REF!</v>
      </c>
      <c r="AG25" s="53" t="e">
        <f>IF(AND('Mapa final'!#REF!="Alta",'Mapa final'!#REF!="Mayor"),CONCATENATE("R10C",'Mapa final'!#REF!),"")</f>
        <v>#REF!</v>
      </c>
      <c r="AH25" s="54" t="e">
        <f>IF(AND('Mapa final'!#REF!="Alta",'Mapa final'!#REF!="Catastrófico"),CONCATENATE("R10C",'Mapa final'!#REF!),"")</f>
        <v>#REF!</v>
      </c>
      <c r="AI25" s="55" t="e">
        <f>IF(AND('Mapa final'!#REF!="Alta",'Mapa final'!#REF!="Catastrófico"),CONCATENATE("R10C",'Mapa final'!#REF!),"")</f>
        <v>#REF!</v>
      </c>
      <c r="AJ25" s="55" t="e">
        <f>IF(AND('Mapa final'!#REF!="Alta",'Mapa final'!#REF!="Catastrófico"),CONCATENATE("R10C",'Mapa final'!#REF!),"")</f>
        <v>#REF!</v>
      </c>
      <c r="AK25" s="55" t="e">
        <f>IF(AND('Mapa final'!#REF!="Alta",'Mapa final'!#REF!="Catastrófico"),CONCATENATE("R10C",'Mapa final'!#REF!),"")</f>
        <v>#REF!</v>
      </c>
      <c r="AL25" s="55" t="e">
        <f>IF(AND('Mapa final'!#REF!="Alta",'Mapa final'!#REF!="Catastrófico"),CONCATENATE("R10C",'Mapa final'!#REF!),"")</f>
        <v>#REF!</v>
      </c>
      <c r="AM25" s="56" t="e">
        <f>IF(AND('Mapa final'!#REF!="Alta",'Mapa final'!#REF!="Catastrófico"),CONCATENATE("R10C",'Mapa final'!#REF!),"")</f>
        <v>#REF!</v>
      </c>
      <c r="AN25" s="76"/>
      <c r="AO25" s="499"/>
      <c r="AP25" s="500"/>
      <c r="AQ25" s="500"/>
      <c r="AR25" s="500"/>
      <c r="AS25" s="500"/>
      <c r="AT25" s="501"/>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row>
    <row r="26" spans="1:76" ht="15" customHeight="1" x14ac:dyDescent="0.25">
      <c r="A26" s="76"/>
      <c r="B26" s="445"/>
      <c r="C26" s="445"/>
      <c r="D26" s="446"/>
      <c r="E26" s="483" t="s">
        <v>117</v>
      </c>
      <c r="F26" s="484"/>
      <c r="G26" s="484"/>
      <c r="H26" s="484"/>
      <c r="I26" s="485"/>
      <c r="J26" s="57" t="str">
        <f>IF(AND('Mapa final'!$AA$20="Media",'Mapa final'!$AC$20="Leve"),CONCATENATE("R1C",'Mapa final'!$Q$20),"")</f>
        <v/>
      </c>
      <c r="K26" s="58" t="str">
        <f>IF(AND('Mapa final'!$AA$21="Media",'Mapa final'!$AC$21="Leve"),CONCATENATE("R1C",'Mapa final'!$Q$21),"")</f>
        <v/>
      </c>
      <c r="L26" s="58" t="str">
        <f>IF(AND('Mapa final'!$AA$22="Media",'Mapa final'!$AC$22="Leve"),CONCATENATE("R1C",'Mapa final'!$Q$22),"")</f>
        <v/>
      </c>
      <c r="M26" s="58" t="e">
        <f>IF(AND('Mapa final'!#REF!="Media",'Mapa final'!#REF!="Leve"),CONCATENATE("R1C",'Mapa final'!#REF!),"")</f>
        <v>#REF!</v>
      </c>
      <c r="N26" s="58" t="e">
        <f>IF(AND('Mapa final'!#REF!="Media",'Mapa final'!#REF!="Leve"),CONCATENATE("R1C",'Mapa final'!#REF!),"")</f>
        <v>#REF!</v>
      </c>
      <c r="O26" s="59" t="e">
        <f>IF(AND('Mapa final'!#REF!="Media",'Mapa final'!#REF!="Leve"),CONCATENATE("R1C",'Mapa final'!#REF!),"")</f>
        <v>#REF!</v>
      </c>
      <c r="P26" s="57" t="str">
        <f>IF(AND('Mapa final'!$AA$20="Media",'Mapa final'!$AC$20="Menor"),CONCATENATE("R1C",'Mapa final'!$Q$20),"")</f>
        <v/>
      </c>
      <c r="Q26" s="58" t="str">
        <f>IF(AND('Mapa final'!$AA$21="Media",'Mapa final'!$AC$21="Menor"),CONCATENATE("R1C",'Mapa final'!$Q$21),"")</f>
        <v/>
      </c>
      <c r="R26" s="58" t="str">
        <f>IF(AND('Mapa final'!$AA$22="Media",'Mapa final'!$AC$22="Menor"),CONCATENATE("R1C",'Mapa final'!$Q$22),"")</f>
        <v/>
      </c>
      <c r="S26" s="58" t="e">
        <f>IF(AND('Mapa final'!#REF!="Media",'Mapa final'!#REF!="Menor"),CONCATENATE("R1C",'Mapa final'!#REF!),"")</f>
        <v>#REF!</v>
      </c>
      <c r="T26" s="58" t="e">
        <f>IF(AND('Mapa final'!#REF!="Media",'Mapa final'!#REF!="Menor"),CONCATENATE("R1C",'Mapa final'!#REF!),"")</f>
        <v>#REF!</v>
      </c>
      <c r="U26" s="59" t="e">
        <f>IF(AND('Mapa final'!#REF!="Media",'Mapa final'!#REF!="Menor"),CONCATENATE("R1C",'Mapa final'!#REF!),"")</f>
        <v>#REF!</v>
      </c>
      <c r="V26" s="57" t="str">
        <f>IF(AND('Mapa final'!$AA$20="Media",'Mapa final'!$AC$20="Moderado"),CONCATENATE("R1C",'Mapa final'!$Q$20),"")</f>
        <v/>
      </c>
      <c r="W26" s="58" t="str">
        <f>IF(AND('Mapa final'!$AA$21="Media",'Mapa final'!$AC$21="Moderado"),CONCATENATE("R1C",'Mapa final'!$Q$21),"")</f>
        <v/>
      </c>
      <c r="X26" s="58" t="str">
        <f>IF(AND('Mapa final'!$AA$22="Media",'Mapa final'!$AC$22="Moderado"),CONCATENATE("R1C",'Mapa final'!$Q$22),"")</f>
        <v/>
      </c>
      <c r="Y26" s="58" t="e">
        <f>IF(AND('Mapa final'!#REF!="Media",'Mapa final'!#REF!="Moderado"),CONCATENATE("R1C",'Mapa final'!#REF!),"")</f>
        <v>#REF!</v>
      </c>
      <c r="Z26" s="58" t="e">
        <f>IF(AND('Mapa final'!#REF!="Media",'Mapa final'!#REF!="Moderado"),CONCATENATE("R1C",'Mapa final'!#REF!),"")</f>
        <v>#REF!</v>
      </c>
      <c r="AA26" s="59" t="e">
        <f>IF(AND('Mapa final'!#REF!="Media",'Mapa final'!#REF!="Moderado"),CONCATENATE("R1C",'Mapa final'!#REF!),"")</f>
        <v>#REF!</v>
      </c>
      <c r="AB26" s="39" t="str">
        <f>IF(AND('Mapa final'!$AA$20="Media",'Mapa final'!$AC$20="Mayor"),CONCATENATE("R1C",'Mapa final'!$Q$20),"")</f>
        <v/>
      </c>
      <c r="AC26" s="40" t="str">
        <f>IF(AND('Mapa final'!$AA$21="Media",'Mapa final'!$AC$21="Mayor"),CONCATENATE("R1C",'Mapa final'!$Q$21),"")</f>
        <v/>
      </c>
      <c r="AD26" s="40" t="str">
        <f>IF(AND('Mapa final'!$AA$22="Media",'Mapa final'!$AC$22="Mayor"),CONCATENATE("R1C",'Mapa final'!$Q$22),"")</f>
        <v/>
      </c>
      <c r="AE26" s="40" t="e">
        <f>IF(AND('Mapa final'!#REF!="Media",'Mapa final'!#REF!="Mayor"),CONCATENATE("R1C",'Mapa final'!#REF!),"")</f>
        <v>#REF!</v>
      </c>
      <c r="AF26" s="40" t="e">
        <f>IF(AND('Mapa final'!#REF!="Media",'Mapa final'!#REF!="Mayor"),CONCATENATE("R1C",'Mapa final'!#REF!),"")</f>
        <v>#REF!</v>
      </c>
      <c r="AG26" s="41" t="e">
        <f>IF(AND('Mapa final'!#REF!="Media",'Mapa final'!#REF!="Mayor"),CONCATENATE("R1C",'Mapa final'!#REF!),"")</f>
        <v>#REF!</v>
      </c>
      <c r="AH26" s="42" t="str">
        <f>IF(AND('Mapa final'!$AA$20="Media",'Mapa final'!$AC$20="Catastrófico"),CONCATENATE("R1C",'Mapa final'!$Q$20),"")</f>
        <v/>
      </c>
      <c r="AI26" s="43" t="str">
        <f>IF(AND('Mapa final'!$AA$21="Media",'Mapa final'!$AC$21="Catastrófico"),CONCATENATE("R1C",'Mapa final'!$Q$21),"")</f>
        <v/>
      </c>
      <c r="AJ26" s="43" t="str">
        <f>IF(AND('Mapa final'!$AA$22="Media",'Mapa final'!$AC$22="Catastrófico"),CONCATENATE("R1C",'Mapa final'!$Q$22),"")</f>
        <v/>
      </c>
      <c r="AK26" s="43" t="e">
        <f>IF(AND('Mapa final'!#REF!="Media",'Mapa final'!#REF!="Catastrófico"),CONCATENATE("R1C",'Mapa final'!#REF!),"")</f>
        <v>#REF!</v>
      </c>
      <c r="AL26" s="43" t="e">
        <f>IF(AND('Mapa final'!#REF!="Media",'Mapa final'!#REF!="Catastrófico"),CONCATENATE("R1C",'Mapa final'!#REF!),"")</f>
        <v>#REF!</v>
      </c>
      <c r="AM26" s="44" t="e">
        <f>IF(AND('Mapa final'!#REF!="Media",'Mapa final'!#REF!="Catastrófico"),CONCATENATE("R1C",'Mapa final'!#REF!),"")</f>
        <v>#REF!</v>
      </c>
      <c r="AN26" s="76"/>
      <c r="AO26" s="523" t="s">
        <v>81</v>
      </c>
      <c r="AP26" s="524"/>
      <c r="AQ26" s="524"/>
      <c r="AR26" s="524"/>
      <c r="AS26" s="524"/>
      <c r="AT26" s="525"/>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row>
    <row r="27" spans="1:76" ht="15" customHeight="1" x14ac:dyDescent="0.25">
      <c r="A27" s="76"/>
      <c r="B27" s="445"/>
      <c r="C27" s="445"/>
      <c r="D27" s="446"/>
      <c r="E27" s="502"/>
      <c r="F27" s="487"/>
      <c r="G27" s="487"/>
      <c r="H27" s="487"/>
      <c r="I27" s="488"/>
      <c r="J27" s="60" t="str">
        <f>IF(AND('Mapa final'!$AA$23="Media",'Mapa final'!$AC$23="Leve"),CONCATENATE("R2C",'Mapa final'!$Q$23),"")</f>
        <v/>
      </c>
      <c r="K27" s="61" t="e">
        <f>IF(AND('Mapa final'!#REF!="Media",'Mapa final'!#REF!="Leve"),CONCATENATE("R2C",'Mapa final'!#REF!),"")</f>
        <v>#REF!</v>
      </c>
      <c r="L27" s="61" t="e">
        <f>IF(AND('Mapa final'!#REF!="Media",'Mapa final'!#REF!="Leve"),CONCATENATE("R2C",'Mapa final'!#REF!),"")</f>
        <v>#REF!</v>
      </c>
      <c r="M27" s="61" t="e">
        <f>IF(AND('Mapa final'!#REF!="Media",'Mapa final'!#REF!="Leve"),CONCATENATE("R2C",'Mapa final'!#REF!),"")</f>
        <v>#REF!</v>
      </c>
      <c r="N27" s="61" t="e">
        <f>IF(AND('Mapa final'!#REF!="Media",'Mapa final'!#REF!="Leve"),CONCATENATE("R2C",'Mapa final'!#REF!),"")</f>
        <v>#REF!</v>
      </c>
      <c r="O27" s="62" t="e">
        <f>IF(AND('Mapa final'!#REF!="Media",'Mapa final'!#REF!="Leve"),CONCATENATE("R2C",'Mapa final'!#REF!),"")</f>
        <v>#REF!</v>
      </c>
      <c r="P27" s="60" t="str">
        <f>IF(AND('Mapa final'!$AA$23="Media",'Mapa final'!$AC$23="Menor"),CONCATENATE("R2C",'Mapa final'!$Q$23),"")</f>
        <v/>
      </c>
      <c r="Q27" s="61" t="e">
        <f>IF(AND('Mapa final'!#REF!="Media",'Mapa final'!#REF!="Menor"),CONCATENATE("R2C",'Mapa final'!#REF!),"")</f>
        <v>#REF!</v>
      </c>
      <c r="R27" s="61" t="e">
        <f>IF(AND('Mapa final'!#REF!="Media",'Mapa final'!#REF!="Menor"),CONCATENATE("R2C",'Mapa final'!#REF!),"")</f>
        <v>#REF!</v>
      </c>
      <c r="S27" s="61" t="e">
        <f>IF(AND('Mapa final'!#REF!="Media",'Mapa final'!#REF!="Menor"),CONCATENATE("R2C",'Mapa final'!#REF!),"")</f>
        <v>#REF!</v>
      </c>
      <c r="T27" s="61" t="e">
        <f>IF(AND('Mapa final'!#REF!="Media",'Mapa final'!#REF!="Menor"),CONCATENATE("R2C",'Mapa final'!#REF!),"")</f>
        <v>#REF!</v>
      </c>
      <c r="U27" s="62" t="e">
        <f>IF(AND('Mapa final'!#REF!="Media",'Mapa final'!#REF!="Menor"),CONCATENATE("R2C",'Mapa final'!#REF!),"")</f>
        <v>#REF!</v>
      </c>
      <c r="V27" s="60" t="str">
        <f>IF(AND('Mapa final'!$AA$23="Media",'Mapa final'!$AC$23="Moderado"),CONCATENATE("R2C",'Mapa final'!$Q$23),"")</f>
        <v/>
      </c>
      <c r="W27" s="61" t="e">
        <f>IF(AND('Mapa final'!#REF!="Media",'Mapa final'!#REF!="Moderado"),CONCATENATE("R2C",'Mapa final'!#REF!),"")</f>
        <v>#REF!</v>
      </c>
      <c r="X27" s="61" t="e">
        <f>IF(AND('Mapa final'!#REF!="Media",'Mapa final'!#REF!="Moderado"),CONCATENATE("R2C",'Mapa final'!#REF!),"")</f>
        <v>#REF!</v>
      </c>
      <c r="Y27" s="61" t="e">
        <f>IF(AND('Mapa final'!#REF!="Media",'Mapa final'!#REF!="Moderado"),CONCATENATE("R2C",'Mapa final'!#REF!),"")</f>
        <v>#REF!</v>
      </c>
      <c r="Z27" s="61" t="e">
        <f>IF(AND('Mapa final'!#REF!="Media",'Mapa final'!#REF!="Moderado"),CONCATENATE("R2C",'Mapa final'!#REF!),"")</f>
        <v>#REF!</v>
      </c>
      <c r="AA27" s="62" t="e">
        <f>IF(AND('Mapa final'!#REF!="Media",'Mapa final'!#REF!="Moderado"),CONCATENATE("R2C",'Mapa final'!#REF!),"")</f>
        <v>#REF!</v>
      </c>
      <c r="AB27" s="45" t="str">
        <f>IF(AND('Mapa final'!$AA$23="Media",'Mapa final'!$AC$23="Mayor"),CONCATENATE("R2C",'Mapa final'!$Q$23),"")</f>
        <v/>
      </c>
      <c r="AC27" s="46" t="e">
        <f>IF(AND('Mapa final'!#REF!="Media",'Mapa final'!#REF!="Mayor"),CONCATENATE("R2C",'Mapa final'!#REF!),"")</f>
        <v>#REF!</v>
      </c>
      <c r="AD27" s="46" t="e">
        <f>IF(AND('Mapa final'!#REF!="Media",'Mapa final'!#REF!="Mayor"),CONCATENATE("R2C",'Mapa final'!#REF!),"")</f>
        <v>#REF!</v>
      </c>
      <c r="AE27" s="46" t="e">
        <f>IF(AND('Mapa final'!#REF!="Media",'Mapa final'!#REF!="Mayor"),CONCATENATE("R2C",'Mapa final'!#REF!),"")</f>
        <v>#REF!</v>
      </c>
      <c r="AF27" s="46" t="e">
        <f>IF(AND('Mapa final'!#REF!="Media",'Mapa final'!#REF!="Mayor"),CONCATENATE("R2C",'Mapa final'!#REF!),"")</f>
        <v>#REF!</v>
      </c>
      <c r="AG27" s="47" t="e">
        <f>IF(AND('Mapa final'!#REF!="Media",'Mapa final'!#REF!="Mayor"),CONCATENATE("R2C",'Mapa final'!#REF!),"")</f>
        <v>#REF!</v>
      </c>
      <c r="AH27" s="48" t="str">
        <f>IF(AND('Mapa final'!$AA$23="Media",'Mapa final'!$AC$23="Catastrófico"),CONCATENATE("R2C",'Mapa final'!$Q$23),"")</f>
        <v/>
      </c>
      <c r="AI27" s="49" t="e">
        <f>IF(AND('Mapa final'!#REF!="Media",'Mapa final'!#REF!="Catastrófico"),CONCATENATE("R2C",'Mapa final'!#REF!),"")</f>
        <v>#REF!</v>
      </c>
      <c r="AJ27" s="49" t="e">
        <f>IF(AND('Mapa final'!#REF!="Media",'Mapa final'!#REF!="Catastrófico"),CONCATENATE("R2C",'Mapa final'!#REF!),"")</f>
        <v>#REF!</v>
      </c>
      <c r="AK27" s="49" t="e">
        <f>IF(AND('Mapa final'!#REF!="Media",'Mapa final'!#REF!="Catastrófico"),CONCATENATE("R2C",'Mapa final'!#REF!),"")</f>
        <v>#REF!</v>
      </c>
      <c r="AL27" s="49" t="e">
        <f>IF(AND('Mapa final'!#REF!="Media",'Mapa final'!#REF!="Catastrófico"),CONCATENATE("R2C",'Mapa final'!#REF!),"")</f>
        <v>#REF!</v>
      </c>
      <c r="AM27" s="50" t="e">
        <f>IF(AND('Mapa final'!#REF!="Media",'Mapa final'!#REF!="Catastrófico"),CONCATENATE("R2C",'Mapa final'!#REF!),"")</f>
        <v>#REF!</v>
      </c>
      <c r="AN27" s="76"/>
      <c r="AO27" s="526"/>
      <c r="AP27" s="527"/>
      <c r="AQ27" s="527"/>
      <c r="AR27" s="527"/>
      <c r="AS27" s="527"/>
      <c r="AT27" s="528"/>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row>
    <row r="28" spans="1:76" ht="15" customHeight="1" x14ac:dyDescent="0.25">
      <c r="A28" s="76"/>
      <c r="B28" s="445"/>
      <c r="C28" s="445"/>
      <c r="D28" s="446"/>
      <c r="E28" s="486"/>
      <c r="F28" s="487"/>
      <c r="G28" s="487"/>
      <c r="H28" s="487"/>
      <c r="I28" s="488"/>
      <c r="J28" s="60" t="str">
        <f>IF(AND('Mapa final'!$AA$24="Media",'Mapa final'!$AC$24="Leve"),CONCATENATE("R3C",'Mapa final'!$Q$24),"")</f>
        <v/>
      </c>
      <c r="K28" s="61" t="str">
        <f>IF(AND('Mapa final'!$AA$25="Media",'Mapa final'!$AC$25="Leve"),CONCATENATE("R3C",'Mapa final'!$Q$25),"")</f>
        <v/>
      </c>
      <c r="L28" s="61" t="str">
        <f>IF(AND('Mapa final'!$AA$26="Media",'Mapa final'!$AC$26="Leve"),CONCATENATE("R3C",'Mapa final'!$Q$26),"")</f>
        <v/>
      </c>
      <c r="M28" s="61" t="e">
        <f>IF(AND('Mapa final'!#REF!="Media",'Mapa final'!#REF!="Leve"),CONCATENATE("R3C",'Mapa final'!#REF!),"")</f>
        <v>#REF!</v>
      </c>
      <c r="N28" s="61" t="e">
        <f>IF(AND('Mapa final'!#REF!="Media",'Mapa final'!#REF!="Leve"),CONCATENATE("R3C",'Mapa final'!#REF!),"")</f>
        <v>#REF!</v>
      </c>
      <c r="O28" s="62" t="e">
        <f>IF(AND('Mapa final'!#REF!="Media",'Mapa final'!#REF!="Leve"),CONCATENATE("R3C",'Mapa final'!#REF!),"")</f>
        <v>#REF!</v>
      </c>
      <c r="P28" s="60" t="str">
        <f>IF(AND('Mapa final'!$AA$24="Media",'Mapa final'!$AC$24="Menor"),CONCATENATE("R3C",'Mapa final'!$Q$24),"")</f>
        <v/>
      </c>
      <c r="Q28" s="61" t="str">
        <f>IF(AND('Mapa final'!$AA$25="Media",'Mapa final'!$AC$25="Menor"),CONCATENATE("R3C",'Mapa final'!$Q$25),"")</f>
        <v/>
      </c>
      <c r="R28" s="61" t="str">
        <f>IF(AND('Mapa final'!$AA$26="Media",'Mapa final'!$AC$26="Menor"),CONCATENATE("R3C",'Mapa final'!$Q$26),"")</f>
        <v/>
      </c>
      <c r="S28" s="61" t="e">
        <f>IF(AND('Mapa final'!#REF!="Media",'Mapa final'!#REF!="Menor"),CONCATENATE("R3C",'Mapa final'!#REF!),"")</f>
        <v>#REF!</v>
      </c>
      <c r="T28" s="61" t="e">
        <f>IF(AND('Mapa final'!#REF!="Media",'Mapa final'!#REF!="Menor"),CONCATENATE("R3C",'Mapa final'!#REF!),"")</f>
        <v>#REF!</v>
      </c>
      <c r="U28" s="62" t="e">
        <f>IF(AND('Mapa final'!#REF!="Media",'Mapa final'!#REF!="Menor"),CONCATENATE("R3C",'Mapa final'!#REF!),"")</f>
        <v>#REF!</v>
      </c>
      <c r="V28" s="60" t="str">
        <f>IF(AND('Mapa final'!$AA$24="Media",'Mapa final'!$AC$24="Moderado"),CONCATENATE("R3C",'Mapa final'!$Q$24),"")</f>
        <v/>
      </c>
      <c r="W28" s="61" t="str">
        <f>IF(AND('Mapa final'!$AA$25="Media",'Mapa final'!$AC$25="Moderado"),CONCATENATE("R3C",'Mapa final'!$Q$25),"")</f>
        <v/>
      </c>
      <c r="X28" s="61" t="str">
        <f>IF(AND('Mapa final'!$AA$26="Media",'Mapa final'!$AC$26="Moderado"),CONCATENATE("R3C",'Mapa final'!$Q$26),"")</f>
        <v/>
      </c>
      <c r="Y28" s="61" t="e">
        <f>IF(AND('Mapa final'!#REF!="Media",'Mapa final'!#REF!="Moderado"),CONCATENATE("R3C",'Mapa final'!#REF!),"")</f>
        <v>#REF!</v>
      </c>
      <c r="Z28" s="61" t="e">
        <f>IF(AND('Mapa final'!#REF!="Media",'Mapa final'!#REF!="Moderado"),CONCATENATE("R3C",'Mapa final'!#REF!),"")</f>
        <v>#REF!</v>
      </c>
      <c r="AA28" s="62" t="e">
        <f>IF(AND('Mapa final'!#REF!="Media",'Mapa final'!#REF!="Moderado"),CONCATENATE("R3C",'Mapa final'!#REF!),"")</f>
        <v>#REF!</v>
      </c>
      <c r="AB28" s="45" t="str">
        <f>IF(AND('Mapa final'!$AA$24="Media",'Mapa final'!$AC$24="Mayor"),CONCATENATE("R3C",'Mapa final'!$Q$24),"")</f>
        <v/>
      </c>
      <c r="AC28" s="46" t="str">
        <f>IF(AND('Mapa final'!$AA$25="Media",'Mapa final'!$AC$25="Mayor"),CONCATENATE("R3C",'Mapa final'!$Q$25),"")</f>
        <v/>
      </c>
      <c r="AD28" s="46" t="str">
        <f>IF(AND('Mapa final'!$AA$26="Media",'Mapa final'!$AC$26="Mayor"),CONCATENATE("R3C",'Mapa final'!$Q$26),"")</f>
        <v/>
      </c>
      <c r="AE28" s="46" t="e">
        <f>IF(AND('Mapa final'!#REF!="Media",'Mapa final'!#REF!="Mayor"),CONCATENATE("R3C",'Mapa final'!#REF!),"")</f>
        <v>#REF!</v>
      </c>
      <c r="AF28" s="46" t="e">
        <f>IF(AND('Mapa final'!#REF!="Media",'Mapa final'!#REF!="Mayor"),CONCATENATE("R3C",'Mapa final'!#REF!),"")</f>
        <v>#REF!</v>
      </c>
      <c r="AG28" s="47" t="e">
        <f>IF(AND('Mapa final'!#REF!="Media",'Mapa final'!#REF!="Mayor"),CONCATENATE("R3C",'Mapa final'!#REF!),"")</f>
        <v>#REF!</v>
      </c>
      <c r="AH28" s="48" t="str">
        <f>IF(AND('Mapa final'!$AA$24="Media",'Mapa final'!$AC$24="Catastrófico"),CONCATENATE("R3C",'Mapa final'!$Q$24),"")</f>
        <v/>
      </c>
      <c r="AI28" s="49" t="str">
        <f>IF(AND('Mapa final'!$AA$25="Media",'Mapa final'!$AC$25="Catastrófico"),CONCATENATE("R3C",'Mapa final'!$Q$25),"")</f>
        <v/>
      </c>
      <c r="AJ28" s="49" t="str">
        <f>IF(AND('Mapa final'!$AA$26="Media",'Mapa final'!$AC$26="Catastrófico"),CONCATENATE("R3C",'Mapa final'!$Q$26),"")</f>
        <v/>
      </c>
      <c r="AK28" s="49" t="e">
        <f>IF(AND('Mapa final'!#REF!="Media",'Mapa final'!#REF!="Catastrófico"),CONCATENATE("R3C",'Mapa final'!#REF!),"")</f>
        <v>#REF!</v>
      </c>
      <c r="AL28" s="49" t="e">
        <f>IF(AND('Mapa final'!#REF!="Media",'Mapa final'!#REF!="Catastrófico"),CONCATENATE("R3C",'Mapa final'!#REF!),"")</f>
        <v>#REF!</v>
      </c>
      <c r="AM28" s="50" t="e">
        <f>IF(AND('Mapa final'!#REF!="Media",'Mapa final'!#REF!="Catastrófico"),CONCATENATE("R3C",'Mapa final'!#REF!),"")</f>
        <v>#REF!</v>
      </c>
      <c r="AN28" s="76"/>
      <c r="AO28" s="526"/>
      <c r="AP28" s="527"/>
      <c r="AQ28" s="527"/>
      <c r="AR28" s="527"/>
      <c r="AS28" s="527"/>
      <c r="AT28" s="528"/>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row>
    <row r="29" spans="1:76" ht="15" customHeight="1" x14ac:dyDescent="0.25">
      <c r="A29" s="76"/>
      <c r="B29" s="445"/>
      <c r="C29" s="445"/>
      <c r="D29" s="446"/>
      <c r="E29" s="486"/>
      <c r="F29" s="487"/>
      <c r="G29" s="487"/>
      <c r="H29" s="487"/>
      <c r="I29" s="488"/>
      <c r="J29" s="60" t="str">
        <f>IF(AND('Mapa final'!$AA$27="Media",'Mapa final'!$AC$27="Leve"),CONCATENATE("R4C",'Mapa final'!$Q$27),"")</f>
        <v/>
      </c>
      <c r="K29" s="61" t="str">
        <f>IF(AND('Mapa final'!$AA$29="Media",'Mapa final'!$AC$29="Leve"),CONCATENATE("R4C",'Mapa final'!$Q$29),"")</f>
        <v/>
      </c>
      <c r="L29" s="61" t="e">
        <f>IF(AND('Mapa final'!#REF!="Media",'Mapa final'!#REF!="Leve"),CONCATENATE("R4C",'Mapa final'!#REF!),"")</f>
        <v>#REF!</v>
      </c>
      <c r="M29" s="61" t="e">
        <f>IF(AND('Mapa final'!#REF!="Media",'Mapa final'!#REF!="Leve"),CONCATENATE("R4C",'Mapa final'!#REF!),"")</f>
        <v>#REF!</v>
      </c>
      <c r="N29" s="61" t="e">
        <f>IF(AND('Mapa final'!#REF!="Media",'Mapa final'!#REF!="Leve"),CONCATENATE("R4C",'Mapa final'!#REF!),"")</f>
        <v>#REF!</v>
      </c>
      <c r="O29" s="62" t="e">
        <f>IF(AND('Mapa final'!#REF!="Media",'Mapa final'!#REF!="Leve"),CONCATENATE("R4C",'Mapa final'!#REF!),"")</f>
        <v>#REF!</v>
      </c>
      <c r="P29" s="60" t="str">
        <f>IF(AND('Mapa final'!$AA$27="Media",'Mapa final'!$AC$27="Menor"),CONCATENATE("R4C",'Mapa final'!$Q$27),"")</f>
        <v/>
      </c>
      <c r="Q29" s="61" t="str">
        <f>IF(AND('Mapa final'!$AA$29="Media",'Mapa final'!$AC$29="Menor"),CONCATENATE("R4C",'Mapa final'!$Q$29),"")</f>
        <v/>
      </c>
      <c r="R29" s="61" t="e">
        <f>IF(AND('Mapa final'!#REF!="Media",'Mapa final'!#REF!="Menor"),CONCATENATE("R4C",'Mapa final'!#REF!),"")</f>
        <v>#REF!</v>
      </c>
      <c r="S29" s="61" t="e">
        <f>IF(AND('Mapa final'!#REF!="Media",'Mapa final'!#REF!="Menor"),CONCATENATE("R4C",'Mapa final'!#REF!),"")</f>
        <v>#REF!</v>
      </c>
      <c r="T29" s="61" t="e">
        <f>IF(AND('Mapa final'!#REF!="Media",'Mapa final'!#REF!="Menor"),CONCATENATE("R4C",'Mapa final'!#REF!),"")</f>
        <v>#REF!</v>
      </c>
      <c r="U29" s="62" t="e">
        <f>IF(AND('Mapa final'!#REF!="Media",'Mapa final'!#REF!="Menor"),CONCATENATE("R4C",'Mapa final'!#REF!),"")</f>
        <v>#REF!</v>
      </c>
      <c r="V29" s="60" t="str">
        <f>IF(AND('Mapa final'!$AA$27="Media",'Mapa final'!$AC$27="Moderado"),CONCATENATE("R4C",'Mapa final'!$Q$27),"")</f>
        <v/>
      </c>
      <c r="W29" s="61" t="str">
        <f>IF(AND('Mapa final'!$AA$29="Media",'Mapa final'!$AC$29="Moderado"),CONCATENATE("R4C",'Mapa final'!$Q$29),"")</f>
        <v/>
      </c>
      <c r="X29" s="61" t="e">
        <f>IF(AND('Mapa final'!#REF!="Media",'Mapa final'!#REF!="Moderado"),CONCATENATE("R4C",'Mapa final'!#REF!),"")</f>
        <v>#REF!</v>
      </c>
      <c r="Y29" s="61" t="e">
        <f>IF(AND('Mapa final'!#REF!="Media",'Mapa final'!#REF!="Moderado"),CONCATENATE("R4C",'Mapa final'!#REF!),"")</f>
        <v>#REF!</v>
      </c>
      <c r="Z29" s="61" t="e">
        <f>IF(AND('Mapa final'!#REF!="Media",'Mapa final'!#REF!="Moderado"),CONCATENATE("R4C",'Mapa final'!#REF!),"")</f>
        <v>#REF!</v>
      </c>
      <c r="AA29" s="62" t="e">
        <f>IF(AND('Mapa final'!#REF!="Media",'Mapa final'!#REF!="Moderado"),CONCATENATE("R4C",'Mapa final'!#REF!),"")</f>
        <v>#REF!</v>
      </c>
      <c r="AB29" s="45" t="str">
        <f>IF(AND('Mapa final'!$AA$27="Media",'Mapa final'!$AC$27="Mayor"),CONCATENATE("R4C",'Mapa final'!$Q$27),"")</f>
        <v/>
      </c>
      <c r="AC29" s="46" t="str">
        <f>IF(AND('Mapa final'!$AA$29="Media",'Mapa final'!$AC$29="Mayor"),CONCATENATE("R4C",'Mapa final'!$Q$29),"")</f>
        <v/>
      </c>
      <c r="AD29" s="46" t="e">
        <f>IF(AND('Mapa final'!#REF!="Media",'Mapa final'!#REF!="Mayor"),CONCATENATE("R4C",'Mapa final'!#REF!),"")</f>
        <v>#REF!</v>
      </c>
      <c r="AE29" s="46" t="e">
        <f>IF(AND('Mapa final'!#REF!="Media",'Mapa final'!#REF!="Mayor"),CONCATENATE("R4C",'Mapa final'!#REF!),"")</f>
        <v>#REF!</v>
      </c>
      <c r="AF29" s="46" t="e">
        <f>IF(AND('Mapa final'!#REF!="Media",'Mapa final'!#REF!="Mayor"),CONCATENATE("R4C",'Mapa final'!#REF!),"")</f>
        <v>#REF!</v>
      </c>
      <c r="AG29" s="47" t="e">
        <f>IF(AND('Mapa final'!#REF!="Media",'Mapa final'!#REF!="Mayor"),CONCATENATE("R4C",'Mapa final'!#REF!),"")</f>
        <v>#REF!</v>
      </c>
      <c r="AH29" s="48" t="str">
        <f>IF(AND('Mapa final'!$AA$27="Media",'Mapa final'!$AC$27="Catastrófico"),CONCATENATE("R4C",'Mapa final'!$Q$27),"")</f>
        <v/>
      </c>
      <c r="AI29" s="49" t="str">
        <f>IF(AND('Mapa final'!$AA$29="Media",'Mapa final'!$AC$29="Catastrófico"),CONCATENATE("R4C",'Mapa final'!$Q$29),"")</f>
        <v/>
      </c>
      <c r="AJ29" s="49" t="e">
        <f>IF(AND('Mapa final'!#REF!="Media",'Mapa final'!#REF!="Catastrófico"),CONCATENATE("R4C",'Mapa final'!#REF!),"")</f>
        <v>#REF!</v>
      </c>
      <c r="AK29" s="49" t="e">
        <f>IF(AND('Mapa final'!#REF!="Media",'Mapa final'!#REF!="Catastrófico"),CONCATENATE("R4C",'Mapa final'!#REF!),"")</f>
        <v>#REF!</v>
      </c>
      <c r="AL29" s="49" t="e">
        <f>IF(AND('Mapa final'!#REF!="Media",'Mapa final'!#REF!="Catastrófico"),CONCATENATE("R4C",'Mapa final'!#REF!),"")</f>
        <v>#REF!</v>
      </c>
      <c r="AM29" s="50" t="e">
        <f>IF(AND('Mapa final'!#REF!="Media",'Mapa final'!#REF!="Catastrófico"),CONCATENATE("R4C",'Mapa final'!#REF!),"")</f>
        <v>#REF!</v>
      </c>
      <c r="AN29" s="76"/>
      <c r="AO29" s="526"/>
      <c r="AP29" s="527"/>
      <c r="AQ29" s="527"/>
      <c r="AR29" s="527"/>
      <c r="AS29" s="527"/>
      <c r="AT29" s="528"/>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row>
    <row r="30" spans="1:76" ht="15" customHeight="1" x14ac:dyDescent="0.25">
      <c r="A30" s="76"/>
      <c r="B30" s="445"/>
      <c r="C30" s="445"/>
      <c r="D30" s="446"/>
      <c r="E30" s="486"/>
      <c r="F30" s="487"/>
      <c r="G30" s="487"/>
      <c r="H30" s="487"/>
      <c r="I30" s="488"/>
      <c r="J30" s="60" t="str">
        <f>IF(AND('Mapa final'!$AA$30="Media",'Mapa final'!$AC$30="Leve"),CONCATENATE("R5C",'Mapa final'!$Q$30),"")</f>
        <v/>
      </c>
      <c r="K30" s="61" t="e">
        <f>IF(AND('Mapa final'!#REF!="Media",'Mapa final'!#REF!="Leve"),CONCATENATE("R5C",'Mapa final'!#REF!),"")</f>
        <v>#REF!</v>
      </c>
      <c r="L30" s="61" t="e">
        <f>IF(AND('Mapa final'!#REF!="Media",'Mapa final'!#REF!="Leve"),CONCATENATE("R5C",'Mapa final'!#REF!),"")</f>
        <v>#REF!</v>
      </c>
      <c r="M30" s="61" t="e">
        <f>IF(AND('Mapa final'!#REF!="Media",'Mapa final'!#REF!="Leve"),CONCATENATE("R5C",'Mapa final'!#REF!),"")</f>
        <v>#REF!</v>
      </c>
      <c r="N30" s="61" t="e">
        <f>IF(AND('Mapa final'!#REF!="Media",'Mapa final'!#REF!="Leve"),CONCATENATE("R5C",'Mapa final'!#REF!),"")</f>
        <v>#REF!</v>
      </c>
      <c r="O30" s="62" t="e">
        <f>IF(AND('Mapa final'!#REF!="Media",'Mapa final'!#REF!="Leve"),CONCATENATE("R5C",'Mapa final'!#REF!),"")</f>
        <v>#REF!</v>
      </c>
      <c r="P30" s="60" t="str">
        <f>IF(AND('Mapa final'!$AA$30="Media",'Mapa final'!$AC$30="Menor"),CONCATENATE("R5C",'Mapa final'!$Q$30),"")</f>
        <v/>
      </c>
      <c r="Q30" s="61" t="e">
        <f>IF(AND('Mapa final'!#REF!="Media",'Mapa final'!#REF!="Menor"),CONCATENATE("R5C",'Mapa final'!#REF!),"")</f>
        <v>#REF!</v>
      </c>
      <c r="R30" s="61" t="e">
        <f>IF(AND('Mapa final'!#REF!="Media",'Mapa final'!#REF!="Menor"),CONCATENATE("R5C",'Mapa final'!#REF!),"")</f>
        <v>#REF!</v>
      </c>
      <c r="S30" s="61" t="e">
        <f>IF(AND('Mapa final'!#REF!="Media",'Mapa final'!#REF!="Menor"),CONCATENATE("R5C",'Mapa final'!#REF!),"")</f>
        <v>#REF!</v>
      </c>
      <c r="T30" s="61" t="e">
        <f>IF(AND('Mapa final'!#REF!="Media",'Mapa final'!#REF!="Menor"),CONCATENATE("R5C",'Mapa final'!#REF!),"")</f>
        <v>#REF!</v>
      </c>
      <c r="U30" s="62" t="e">
        <f>IF(AND('Mapa final'!#REF!="Media",'Mapa final'!#REF!="Menor"),CONCATENATE("R5C",'Mapa final'!#REF!),"")</f>
        <v>#REF!</v>
      </c>
      <c r="V30" s="60" t="str">
        <f>IF(AND('Mapa final'!$AA$30="Media",'Mapa final'!$AC$30="Moderado"),CONCATENATE("R5C",'Mapa final'!$Q$30),"")</f>
        <v/>
      </c>
      <c r="W30" s="61" t="e">
        <f>IF(AND('Mapa final'!#REF!="Media",'Mapa final'!#REF!="Moderado"),CONCATENATE("R5C",'Mapa final'!#REF!),"")</f>
        <v>#REF!</v>
      </c>
      <c r="X30" s="61" t="e">
        <f>IF(AND('Mapa final'!#REF!="Media",'Mapa final'!#REF!="Moderado"),CONCATENATE("R5C",'Mapa final'!#REF!),"")</f>
        <v>#REF!</v>
      </c>
      <c r="Y30" s="61" t="e">
        <f>IF(AND('Mapa final'!#REF!="Media",'Mapa final'!#REF!="Moderado"),CONCATENATE("R5C",'Mapa final'!#REF!),"")</f>
        <v>#REF!</v>
      </c>
      <c r="Z30" s="61" t="e">
        <f>IF(AND('Mapa final'!#REF!="Media",'Mapa final'!#REF!="Moderado"),CONCATENATE("R5C",'Mapa final'!#REF!),"")</f>
        <v>#REF!</v>
      </c>
      <c r="AA30" s="62" t="e">
        <f>IF(AND('Mapa final'!#REF!="Media",'Mapa final'!#REF!="Moderado"),CONCATENATE("R5C",'Mapa final'!#REF!),"")</f>
        <v>#REF!</v>
      </c>
      <c r="AB30" s="45" t="str">
        <f>IF(AND('Mapa final'!$AA$30="Media",'Mapa final'!$AC$30="Mayor"),CONCATENATE("R5C",'Mapa final'!$Q$30),"")</f>
        <v/>
      </c>
      <c r="AC30" s="46" t="e">
        <f>IF(AND('Mapa final'!#REF!="Media",'Mapa final'!#REF!="Mayor"),CONCATENATE("R5C",'Mapa final'!#REF!),"")</f>
        <v>#REF!</v>
      </c>
      <c r="AD30" s="46" t="e">
        <f>IF(AND('Mapa final'!#REF!="Media",'Mapa final'!#REF!="Mayor"),CONCATENATE("R5C",'Mapa final'!#REF!),"")</f>
        <v>#REF!</v>
      </c>
      <c r="AE30" s="46" t="e">
        <f>IF(AND('Mapa final'!#REF!="Media",'Mapa final'!#REF!="Mayor"),CONCATENATE("R5C",'Mapa final'!#REF!),"")</f>
        <v>#REF!</v>
      </c>
      <c r="AF30" s="46" t="e">
        <f>IF(AND('Mapa final'!#REF!="Media",'Mapa final'!#REF!="Mayor"),CONCATENATE("R5C",'Mapa final'!#REF!),"")</f>
        <v>#REF!</v>
      </c>
      <c r="AG30" s="47" t="e">
        <f>IF(AND('Mapa final'!#REF!="Media",'Mapa final'!#REF!="Mayor"),CONCATENATE("R5C",'Mapa final'!#REF!),"")</f>
        <v>#REF!</v>
      </c>
      <c r="AH30" s="48" t="str">
        <f>IF(AND('Mapa final'!$AA$30="Media",'Mapa final'!$AC$30="Catastrófico"),CONCATENATE("R5C",'Mapa final'!$Q$30),"")</f>
        <v/>
      </c>
      <c r="AI30" s="49" t="e">
        <f>IF(AND('Mapa final'!#REF!="Media",'Mapa final'!#REF!="Catastrófico"),CONCATENATE("R5C",'Mapa final'!#REF!),"")</f>
        <v>#REF!</v>
      </c>
      <c r="AJ30" s="49" t="e">
        <f>IF(AND('Mapa final'!#REF!="Media",'Mapa final'!#REF!="Catastrófico"),CONCATENATE("R5C",'Mapa final'!#REF!),"")</f>
        <v>#REF!</v>
      </c>
      <c r="AK30" s="49" t="e">
        <f>IF(AND('Mapa final'!#REF!="Media",'Mapa final'!#REF!="Catastrófico"),CONCATENATE("R5C",'Mapa final'!#REF!),"")</f>
        <v>#REF!</v>
      </c>
      <c r="AL30" s="49" t="e">
        <f>IF(AND('Mapa final'!#REF!="Media",'Mapa final'!#REF!="Catastrófico"),CONCATENATE("R5C",'Mapa final'!#REF!),"")</f>
        <v>#REF!</v>
      </c>
      <c r="AM30" s="50" t="e">
        <f>IF(AND('Mapa final'!#REF!="Media",'Mapa final'!#REF!="Catastrófico"),CONCATENATE("R5C",'Mapa final'!#REF!),"")</f>
        <v>#REF!</v>
      </c>
      <c r="AN30" s="76"/>
      <c r="AO30" s="526"/>
      <c r="AP30" s="527"/>
      <c r="AQ30" s="527"/>
      <c r="AR30" s="527"/>
      <c r="AS30" s="527"/>
      <c r="AT30" s="528"/>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row>
    <row r="31" spans="1:76" ht="15" customHeight="1" x14ac:dyDescent="0.25">
      <c r="A31" s="76"/>
      <c r="B31" s="445"/>
      <c r="C31" s="445"/>
      <c r="D31" s="446"/>
      <c r="E31" s="486"/>
      <c r="F31" s="487"/>
      <c r="G31" s="487"/>
      <c r="H31" s="487"/>
      <c r="I31" s="488"/>
      <c r="J31" s="60" t="e">
        <f>IF(AND('Mapa final'!#REF!="Media",'Mapa final'!#REF!="Leve"),CONCATENATE("R6C",'Mapa final'!#REF!),"")</f>
        <v>#REF!</v>
      </c>
      <c r="K31" s="61" t="e">
        <f>IF(AND('Mapa final'!#REF!="Media",'Mapa final'!#REF!="Leve"),CONCATENATE("R6C",'Mapa final'!#REF!),"")</f>
        <v>#REF!</v>
      </c>
      <c r="L31" s="61" t="e">
        <f>IF(AND('Mapa final'!#REF!="Media",'Mapa final'!#REF!="Leve"),CONCATENATE("R6C",'Mapa final'!#REF!),"")</f>
        <v>#REF!</v>
      </c>
      <c r="M31" s="61" t="e">
        <f>IF(AND('Mapa final'!#REF!="Media",'Mapa final'!#REF!="Leve"),CONCATENATE("R6C",'Mapa final'!#REF!),"")</f>
        <v>#REF!</v>
      </c>
      <c r="N31" s="61" t="e">
        <f>IF(AND('Mapa final'!#REF!="Media",'Mapa final'!#REF!="Leve"),CONCATENATE("R6C",'Mapa final'!#REF!),"")</f>
        <v>#REF!</v>
      </c>
      <c r="O31" s="62" t="e">
        <f>IF(AND('Mapa final'!#REF!="Media",'Mapa final'!#REF!="Leve"),CONCATENATE("R6C",'Mapa final'!#REF!),"")</f>
        <v>#REF!</v>
      </c>
      <c r="P31" s="60" t="e">
        <f>IF(AND('Mapa final'!#REF!="Media",'Mapa final'!#REF!="Menor"),CONCATENATE("R6C",'Mapa final'!#REF!),"")</f>
        <v>#REF!</v>
      </c>
      <c r="Q31" s="61" t="e">
        <f>IF(AND('Mapa final'!#REF!="Media",'Mapa final'!#REF!="Menor"),CONCATENATE("R6C",'Mapa final'!#REF!),"")</f>
        <v>#REF!</v>
      </c>
      <c r="R31" s="61" t="e">
        <f>IF(AND('Mapa final'!#REF!="Media",'Mapa final'!#REF!="Menor"),CONCATENATE("R6C",'Mapa final'!#REF!),"")</f>
        <v>#REF!</v>
      </c>
      <c r="S31" s="61" t="e">
        <f>IF(AND('Mapa final'!#REF!="Media",'Mapa final'!#REF!="Menor"),CONCATENATE("R6C",'Mapa final'!#REF!),"")</f>
        <v>#REF!</v>
      </c>
      <c r="T31" s="61" t="e">
        <f>IF(AND('Mapa final'!#REF!="Media",'Mapa final'!#REF!="Menor"),CONCATENATE("R6C",'Mapa final'!#REF!),"")</f>
        <v>#REF!</v>
      </c>
      <c r="U31" s="62" t="e">
        <f>IF(AND('Mapa final'!#REF!="Media",'Mapa final'!#REF!="Menor"),CONCATENATE("R6C",'Mapa final'!#REF!),"")</f>
        <v>#REF!</v>
      </c>
      <c r="V31" s="60" t="e">
        <f>IF(AND('Mapa final'!#REF!="Media",'Mapa final'!#REF!="Moderado"),CONCATENATE("R6C",'Mapa final'!#REF!),"")</f>
        <v>#REF!</v>
      </c>
      <c r="W31" s="61" t="e">
        <f>IF(AND('Mapa final'!#REF!="Media",'Mapa final'!#REF!="Moderado"),CONCATENATE("R6C",'Mapa final'!#REF!),"")</f>
        <v>#REF!</v>
      </c>
      <c r="X31" s="61" t="e">
        <f>IF(AND('Mapa final'!#REF!="Media",'Mapa final'!#REF!="Moderado"),CONCATENATE("R6C",'Mapa final'!#REF!),"")</f>
        <v>#REF!</v>
      </c>
      <c r="Y31" s="61" t="e">
        <f>IF(AND('Mapa final'!#REF!="Media",'Mapa final'!#REF!="Moderado"),CONCATENATE("R6C",'Mapa final'!#REF!),"")</f>
        <v>#REF!</v>
      </c>
      <c r="Z31" s="61" t="e">
        <f>IF(AND('Mapa final'!#REF!="Media",'Mapa final'!#REF!="Moderado"),CONCATENATE("R6C",'Mapa final'!#REF!),"")</f>
        <v>#REF!</v>
      </c>
      <c r="AA31" s="62" t="e">
        <f>IF(AND('Mapa final'!#REF!="Media",'Mapa final'!#REF!="Moderado"),CONCATENATE("R6C",'Mapa final'!#REF!),"")</f>
        <v>#REF!</v>
      </c>
      <c r="AB31" s="45" t="e">
        <f>IF(AND('Mapa final'!#REF!="Media",'Mapa final'!#REF!="Mayor"),CONCATENATE("R6C",'Mapa final'!#REF!),"")</f>
        <v>#REF!</v>
      </c>
      <c r="AC31" s="46" t="e">
        <f>IF(AND('Mapa final'!#REF!="Media",'Mapa final'!#REF!="Mayor"),CONCATENATE("R6C",'Mapa final'!#REF!),"")</f>
        <v>#REF!</v>
      </c>
      <c r="AD31" s="46" t="e">
        <f>IF(AND('Mapa final'!#REF!="Media",'Mapa final'!#REF!="Mayor"),CONCATENATE("R6C",'Mapa final'!#REF!),"")</f>
        <v>#REF!</v>
      </c>
      <c r="AE31" s="46" t="e">
        <f>IF(AND('Mapa final'!#REF!="Media",'Mapa final'!#REF!="Mayor"),CONCATENATE("R6C",'Mapa final'!#REF!),"")</f>
        <v>#REF!</v>
      </c>
      <c r="AF31" s="46" t="e">
        <f>IF(AND('Mapa final'!#REF!="Media",'Mapa final'!#REF!="Mayor"),CONCATENATE("R6C",'Mapa final'!#REF!),"")</f>
        <v>#REF!</v>
      </c>
      <c r="AG31" s="47" t="e">
        <f>IF(AND('Mapa final'!#REF!="Media",'Mapa final'!#REF!="Mayor"),CONCATENATE("R6C",'Mapa final'!#REF!),"")</f>
        <v>#REF!</v>
      </c>
      <c r="AH31" s="48" t="e">
        <f>IF(AND('Mapa final'!#REF!="Media",'Mapa final'!#REF!="Catastrófico"),CONCATENATE("R6C",'Mapa final'!#REF!),"")</f>
        <v>#REF!</v>
      </c>
      <c r="AI31" s="49" t="e">
        <f>IF(AND('Mapa final'!#REF!="Media",'Mapa final'!#REF!="Catastrófico"),CONCATENATE("R6C",'Mapa final'!#REF!),"")</f>
        <v>#REF!</v>
      </c>
      <c r="AJ31" s="49" t="e">
        <f>IF(AND('Mapa final'!#REF!="Media",'Mapa final'!#REF!="Catastrófico"),CONCATENATE("R6C",'Mapa final'!#REF!),"")</f>
        <v>#REF!</v>
      </c>
      <c r="AK31" s="49" t="e">
        <f>IF(AND('Mapa final'!#REF!="Media",'Mapa final'!#REF!="Catastrófico"),CONCATENATE("R6C",'Mapa final'!#REF!),"")</f>
        <v>#REF!</v>
      </c>
      <c r="AL31" s="49" t="e">
        <f>IF(AND('Mapa final'!#REF!="Media",'Mapa final'!#REF!="Catastrófico"),CONCATENATE("R6C",'Mapa final'!#REF!),"")</f>
        <v>#REF!</v>
      </c>
      <c r="AM31" s="50" t="e">
        <f>IF(AND('Mapa final'!#REF!="Media",'Mapa final'!#REF!="Catastrófico"),CONCATENATE("R6C",'Mapa final'!#REF!),"")</f>
        <v>#REF!</v>
      </c>
      <c r="AN31" s="76"/>
      <c r="AO31" s="526"/>
      <c r="AP31" s="527"/>
      <c r="AQ31" s="527"/>
      <c r="AR31" s="527"/>
      <c r="AS31" s="527"/>
      <c r="AT31" s="528"/>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row>
    <row r="32" spans="1:76" ht="15" customHeight="1" x14ac:dyDescent="0.25">
      <c r="A32" s="76"/>
      <c r="B32" s="445"/>
      <c r="C32" s="445"/>
      <c r="D32" s="446"/>
      <c r="E32" s="486"/>
      <c r="F32" s="487"/>
      <c r="G32" s="487"/>
      <c r="H32" s="487"/>
      <c r="I32" s="488"/>
      <c r="J32" s="60" t="e">
        <f>IF(AND('Mapa final'!#REF!="Media",'Mapa final'!#REF!="Leve"),CONCATENATE("R7C",'Mapa final'!#REF!),"")</f>
        <v>#REF!</v>
      </c>
      <c r="K32" s="61" t="e">
        <f>IF(AND('Mapa final'!#REF!="Media",'Mapa final'!#REF!="Leve"),CONCATENATE("R7C",'Mapa final'!#REF!),"")</f>
        <v>#REF!</v>
      </c>
      <c r="L32" s="61" t="e">
        <f>IF(AND('Mapa final'!#REF!="Media",'Mapa final'!#REF!="Leve"),CONCATENATE("R7C",'Mapa final'!#REF!),"")</f>
        <v>#REF!</v>
      </c>
      <c r="M32" s="61" t="e">
        <f>IF(AND('Mapa final'!#REF!="Media",'Mapa final'!#REF!="Leve"),CONCATENATE("R7C",'Mapa final'!#REF!),"")</f>
        <v>#REF!</v>
      </c>
      <c r="N32" s="61" t="e">
        <f>IF(AND('Mapa final'!#REF!="Media",'Mapa final'!#REF!="Leve"),CONCATENATE("R7C",'Mapa final'!#REF!),"")</f>
        <v>#REF!</v>
      </c>
      <c r="O32" s="62" t="e">
        <f>IF(AND('Mapa final'!#REF!="Media",'Mapa final'!#REF!="Leve"),CONCATENATE("R7C",'Mapa final'!#REF!),"")</f>
        <v>#REF!</v>
      </c>
      <c r="P32" s="60" t="e">
        <f>IF(AND('Mapa final'!#REF!="Media",'Mapa final'!#REF!="Menor"),CONCATENATE("R7C",'Mapa final'!#REF!),"")</f>
        <v>#REF!</v>
      </c>
      <c r="Q32" s="61" t="e">
        <f>IF(AND('Mapa final'!#REF!="Media",'Mapa final'!#REF!="Menor"),CONCATENATE("R7C",'Mapa final'!#REF!),"")</f>
        <v>#REF!</v>
      </c>
      <c r="R32" s="61" t="e">
        <f>IF(AND('Mapa final'!#REF!="Media",'Mapa final'!#REF!="Menor"),CONCATENATE("R7C",'Mapa final'!#REF!),"")</f>
        <v>#REF!</v>
      </c>
      <c r="S32" s="61" t="e">
        <f>IF(AND('Mapa final'!#REF!="Media",'Mapa final'!#REF!="Menor"),CONCATENATE("R7C",'Mapa final'!#REF!),"")</f>
        <v>#REF!</v>
      </c>
      <c r="T32" s="61" t="e">
        <f>IF(AND('Mapa final'!#REF!="Media",'Mapa final'!#REF!="Menor"),CONCATENATE("R7C",'Mapa final'!#REF!),"")</f>
        <v>#REF!</v>
      </c>
      <c r="U32" s="62" t="e">
        <f>IF(AND('Mapa final'!#REF!="Media",'Mapa final'!#REF!="Menor"),CONCATENATE("R7C",'Mapa final'!#REF!),"")</f>
        <v>#REF!</v>
      </c>
      <c r="V32" s="60" t="e">
        <f>IF(AND('Mapa final'!#REF!="Media",'Mapa final'!#REF!="Moderado"),CONCATENATE("R7C",'Mapa final'!#REF!),"")</f>
        <v>#REF!</v>
      </c>
      <c r="W32" s="61" t="e">
        <f>IF(AND('Mapa final'!#REF!="Media",'Mapa final'!#REF!="Moderado"),CONCATENATE("R7C",'Mapa final'!#REF!),"")</f>
        <v>#REF!</v>
      </c>
      <c r="X32" s="61" t="e">
        <f>IF(AND('Mapa final'!#REF!="Media",'Mapa final'!#REF!="Moderado"),CONCATENATE("R7C",'Mapa final'!#REF!),"")</f>
        <v>#REF!</v>
      </c>
      <c r="Y32" s="61" t="e">
        <f>IF(AND('Mapa final'!#REF!="Media",'Mapa final'!#REF!="Moderado"),CONCATENATE("R7C",'Mapa final'!#REF!),"")</f>
        <v>#REF!</v>
      </c>
      <c r="Z32" s="61" t="e">
        <f>IF(AND('Mapa final'!#REF!="Media",'Mapa final'!#REF!="Moderado"),CONCATENATE("R7C",'Mapa final'!#REF!),"")</f>
        <v>#REF!</v>
      </c>
      <c r="AA32" s="62" t="e">
        <f>IF(AND('Mapa final'!#REF!="Media",'Mapa final'!#REF!="Moderado"),CONCATENATE("R7C",'Mapa final'!#REF!),"")</f>
        <v>#REF!</v>
      </c>
      <c r="AB32" s="45" t="e">
        <f>IF(AND('Mapa final'!#REF!="Media",'Mapa final'!#REF!="Mayor"),CONCATENATE("R7C",'Mapa final'!#REF!),"")</f>
        <v>#REF!</v>
      </c>
      <c r="AC32" s="46" t="e">
        <f>IF(AND('Mapa final'!#REF!="Media",'Mapa final'!#REF!="Mayor"),CONCATENATE("R7C",'Mapa final'!#REF!),"")</f>
        <v>#REF!</v>
      </c>
      <c r="AD32" s="46" t="e">
        <f>IF(AND('Mapa final'!#REF!="Media",'Mapa final'!#REF!="Mayor"),CONCATENATE("R7C",'Mapa final'!#REF!),"")</f>
        <v>#REF!</v>
      </c>
      <c r="AE32" s="46" t="e">
        <f>IF(AND('Mapa final'!#REF!="Media",'Mapa final'!#REF!="Mayor"),CONCATENATE("R7C",'Mapa final'!#REF!),"")</f>
        <v>#REF!</v>
      </c>
      <c r="AF32" s="46" t="e">
        <f>IF(AND('Mapa final'!#REF!="Media",'Mapa final'!#REF!="Mayor"),CONCATENATE("R7C",'Mapa final'!#REF!),"")</f>
        <v>#REF!</v>
      </c>
      <c r="AG32" s="47" t="e">
        <f>IF(AND('Mapa final'!#REF!="Media",'Mapa final'!#REF!="Mayor"),CONCATENATE("R7C",'Mapa final'!#REF!),"")</f>
        <v>#REF!</v>
      </c>
      <c r="AH32" s="48" t="e">
        <f>IF(AND('Mapa final'!#REF!="Media",'Mapa final'!#REF!="Catastrófico"),CONCATENATE("R7C",'Mapa final'!#REF!),"")</f>
        <v>#REF!</v>
      </c>
      <c r="AI32" s="49" t="e">
        <f>IF(AND('Mapa final'!#REF!="Media",'Mapa final'!#REF!="Catastrófico"),CONCATENATE("R7C",'Mapa final'!#REF!),"")</f>
        <v>#REF!</v>
      </c>
      <c r="AJ32" s="49" t="e">
        <f>IF(AND('Mapa final'!#REF!="Media",'Mapa final'!#REF!="Catastrófico"),CONCATENATE("R7C",'Mapa final'!#REF!),"")</f>
        <v>#REF!</v>
      </c>
      <c r="AK32" s="49" t="e">
        <f>IF(AND('Mapa final'!#REF!="Media",'Mapa final'!#REF!="Catastrófico"),CONCATENATE("R7C",'Mapa final'!#REF!),"")</f>
        <v>#REF!</v>
      </c>
      <c r="AL32" s="49" t="e">
        <f>IF(AND('Mapa final'!#REF!="Media",'Mapa final'!#REF!="Catastrófico"),CONCATENATE("R7C",'Mapa final'!#REF!),"")</f>
        <v>#REF!</v>
      </c>
      <c r="AM32" s="50" t="e">
        <f>IF(AND('Mapa final'!#REF!="Media",'Mapa final'!#REF!="Catastrófico"),CONCATENATE("R7C",'Mapa final'!#REF!),"")</f>
        <v>#REF!</v>
      </c>
      <c r="AN32" s="76"/>
      <c r="AO32" s="526"/>
      <c r="AP32" s="527"/>
      <c r="AQ32" s="527"/>
      <c r="AR32" s="527"/>
      <c r="AS32" s="527"/>
      <c r="AT32" s="528"/>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row>
    <row r="33" spans="1:80" ht="15" customHeight="1" x14ac:dyDescent="0.25">
      <c r="A33" s="76"/>
      <c r="B33" s="445"/>
      <c r="C33" s="445"/>
      <c r="D33" s="446"/>
      <c r="E33" s="486"/>
      <c r="F33" s="487"/>
      <c r="G33" s="487"/>
      <c r="H33" s="487"/>
      <c r="I33" s="488"/>
      <c r="J33" s="60" t="e">
        <f>IF(AND('Mapa final'!#REF!="Media",'Mapa final'!#REF!="Leve"),CONCATENATE("R8C",'Mapa final'!#REF!),"")</f>
        <v>#REF!</v>
      </c>
      <c r="K33" s="61" t="e">
        <f>IF(AND('Mapa final'!#REF!="Media",'Mapa final'!#REF!="Leve"),CONCATENATE("R8C",'Mapa final'!#REF!),"")</f>
        <v>#REF!</v>
      </c>
      <c r="L33" s="61" t="e">
        <f>IF(AND('Mapa final'!#REF!="Media",'Mapa final'!#REF!="Leve"),CONCATENATE("R8C",'Mapa final'!#REF!),"")</f>
        <v>#REF!</v>
      </c>
      <c r="M33" s="61" t="e">
        <f>IF(AND('Mapa final'!#REF!="Media",'Mapa final'!#REF!="Leve"),CONCATENATE("R8C",'Mapa final'!#REF!),"")</f>
        <v>#REF!</v>
      </c>
      <c r="N33" s="61" t="e">
        <f>IF(AND('Mapa final'!#REF!="Media",'Mapa final'!#REF!="Leve"),CONCATENATE("R8C",'Mapa final'!#REF!),"")</f>
        <v>#REF!</v>
      </c>
      <c r="O33" s="62" t="e">
        <f>IF(AND('Mapa final'!#REF!="Media",'Mapa final'!#REF!="Leve"),CONCATENATE("R8C",'Mapa final'!#REF!),"")</f>
        <v>#REF!</v>
      </c>
      <c r="P33" s="60" t="e">
        <f>IF(AND('Mapa final'!#REF!="Media",'Mapa final'!#REF!="Menor"),CONCATENATE("R8C",'Mapa final'!#REF!),"")</f>
        <v>#REF!</v>
      </c>
      <c r="Q33" s="61" t="e">
        <f>IF(AND('Mapa final'!#REF!="Media",'Mapa final'!#REF!="Menor"),CONCATENATE("R8C",'Mapa final'!#REF!),"")</f>
        <v>#REF!</v>
      </c>
      <c r="R33" s="61" t="e">
        <f>IF(AND('Mapa final'!#REF!="Media",'Mapa final'!#REF!="Menor"),CONCATENATE("R8C",'Mapa final'!#REF!),"")</f>
        <v>#REF!</v>
      </c>
      <c r="S33" s="61" t="e">
        <f>IF(AND('Mapa final'!#REF!="Media",'Mapa final'!#REF!="Menor"),CONCATENATE("R8C",'Mapa final'!#REF!),"")</f>
        <v>#REF!</v>
      </c>
      <c r="T33" s="61" t="e">
        <f>IF(AND('Mapa final'!#REF!="Media",'Mapa final'!#REF!="Menor"),CONCATENATE("R8C",'Mapa final'!#REF!),"")</f>
        <v>#REF!</v>
      </c>
      <c r="U33" s="62" t="e">
        <f>IF(AND('Mapa final'!#REF!="Media",'Mapa final'!#REF!="Menor"),CONCATENATE("R8C",'Mapa final'!#REF!),"")</f>
        <v>#REF!</v>
      </c>
      <c r="V33" s="60" t="e">
        <f>IF(AND('Mapa final'!#REF!="Media",'Mapa final'!#REF!="Moderado"),CONCATENATE("R8C",'Mapa final'!#REF!),"")</f>
        <v>#REF!</v>
      </c>
      <c r="W33" s="61" t="e">
        <f>IF(AND('Mapa final'!#REF!="Media",'Mapa final'!#REF!="Moderado"),CONCATENATE("R8C",'Mapa final'!#REF!),"")</f>
        <v>#REF!</v>
      </c>
      <c r="X33" s="61" t="e">
        <f>IF(AND('Mapa final'!#REF!="Media",'Mapa final'!#REF!="Moderado"),CONCATENATE("R8C",'Mapa final'!#REF!),"")</f>
        <v>#REF!</v>
      </c>
      <c r="Y33" s="61" t="e">
        <f>IF(AND('Mapa final'!#REF!="Media",'Mapa final'!#REF!="Moderado"),CONCATENATE("R8C",'Mapa final'!#REF!),"")</f>
        <v>#REF!</v>
      </c>
      <c r="Z33" s="61" t="e">
        <f>IF(AND('Mapa final'!#REF!="Media",'Mapa final'!#REF!="Moderado"),CONCATENATE("R8C",'Mapa final'!#REF!),"")</f>
        <v>#REF!</v>
      </c>
      <c r="AA33" s="62" t="e">
        <f>IF(AND('Mapa final'!#REF!="Media",'Mapa final'!#REF!="Moderado"),CONCATENATE("R8C",'Mapa final'!#REF!),"")</f>
        <v>#REF!</v>
      </c>
      <c r="AB33" s="45" t="e">
        <f>IF(AND('Mapa final'!#REF!="Media",'Mapa final'!#REF!="Mayor"),CONCATENATE("R8C",'Mapa final'!#REF!),"")</f>
        <v>#REF!</v>
      </c>
      <c r="AC33" s="46" t="e">
        <f>IF(AND('Mapa final'!#REF!="Media",'Mapa final'!#REF!="Mayor"),CONCATENATE("R8C",'Mapa final'!#REF!),"")</f>
        <v>#REF!</v>
      </c>
      <c r="AD33" s="46" t="e">
        <f>IF(AND('Mapa final'!#REF!="Media",'Mapa final'!#REF!="Mayor"),CONCATENATE("R8C",'Mapa final'!#REF!),"")</f>
        <v>#REF!</v>
      </c>
      <c r="AE33" s="46" t="e">
        <f>IF(AND('Mapa final'!#REF!="Media",'Mapa final'!#REF!="Mayor"),CONCATENATE("R8C",'Mapa final'!#REF!),"")</f>
        <v>#REF!</v>
      </c>
      <c r="AF33" s="46" t="e">
        <f>IF(AND('Mapa final'!#REF!="Media",'Mapa final'!#REF!="Mayor"),CONCATENATE("R8C",'Mapa final'!#REF!),"")</f>
        <v>#REF!</v>
      </c>
      <c r="AG33" s="47" t="e">
        <f>IF(AND('Mapa final'!#REF!="Media",'Mapa final'!#REF!="Mayor"),CONCATENATE("R8C",'Mapa final'!#REF!),"")</f>
        <v>#REF!</v>
      </c>
      <c r="AH33" s="48" t="e">
        <f>IF(AND('Mapa final'!#REF!="Media",'Mapa final'!#REF!="Catastrófico"),CONCATENATE("R8C",'Mapa final'!#REF!),"")</f>
        <v>#REF!</v>
      </c>
      <c r="AI33" s="49" t="e">
        <f>IF(AND('Mapa final'!#REF!="Media",'Mapa final'!#REF!="Catastrófico"),CONCATENATE("R8C",'Mapa final'!#REF!),"")</f>
        <v>#REF!</v>
      </c>
      <c r="AJ33" s="49" t="e">
        <f>IF(AND('Mapa final'!#REF!="Media",'Mapa final'!#REF!="Catastrófico"),CONCATENATE("R8C",'Mapa final'!#REF!),"")</f>
        <v>#REF!</v>
      </c>
      <c r="AK33" s="49" t="e">
        <f>IF(AND('Mapa final'!#REF!="Media",'Mapa final'!#REF!="Catastrófico"),CONCATENATE("R8C",'Mapa final'!#REF!),"")</f>
        <v>#REF!</v>
      </c>
      <c r="AL33" s="49" t="e">
        <f>IF(AND('Mapa final'!#REF!="Media",'Mapa final'!#REF!="Catastrófico"),CONCATENATE("R8C",'Mapa final'!#REF!),"")</f>
        <v>#REF!</v>
      </c>
      <c r="AM33" s="50" t="e">
        <f>IF(AND('Mapa final'!#REF!="Media",'Mapa final'!#REF!="Catastrófico"),CONCATENATE("R8C",'Mapa final'!#REF!),"")</f>
        <v>#REF!</v>
      </c>
      <c r="AN33" s="76"/>
      <c r="AO33" s="526"/>
      <c r="AP33" s="527"/>
      <c r="AQ33" s="527"/>
      <c r="AR33" s="527"/>
      <c r="AS33" s="527"/>
      <c r="AT33" s="528"/>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row>
    <row r="34" spans="1:80" ht="15" customHeight="1" x14ac:dyDescent="0.25">
      <c r="A34" s="76"/>
      <c r="B34" s="445"/>
      <c r="C34" s="445"/>
      <c r="D34" s="446"/>
      <c r="E34" s="486"/>
      <c r="F34" s="487"/>
      <c r="G34" s="487"/>
      <c r="H34" s="487"/>
      <c r="I34" s="488"/>
      <c r="J34" s="60" t="e">
        <f>IF(AND('Mapa final'!#REF!="Media",'Mapa final'!#REF!="Leve"),CONCATENATE("R9C",'Mapa final'!#REF!),"")</f>
        <v>#REF!</v>
      </c>
      <c r="K34" s="61" t="e">
        <f>IF(AND('Mapa final'!#REF!="Media",'Mapa final'!#REF!="Leve"),CONCATENATE("R9C",'Mapa final'!#REF!),"")</f>
        <v>#REF!</v>
      </c>
      <c r="L34" s="61" t="e">
        <f>IF(AND('Mapa final'!#REF!="Media",'Mapa final'!#REF!="Leve"),CONCATENATE("R9C",'Mapa final'!#REF!),"")</f>
        <v>#REF!</v>
      </c>
      <c r="M34" s="61" t="e">
        <f>IF(AND('Mapa final'!#REF!="Media",'Mapa final'!#REF!="Leve"),CONCATENATE("R9C",'Mapa final'!#REF!),"")</f>
        <v>#REF!</v>
      </c>
      <c r="N34" s="61" t="e">
        <f>IF(AND('Mapa final'!#REF!="Media",'Mapa final'!#REF!="Leve"),CONCATENATE("R9C",'Mapa final'!#REF!),"")</f>
        <v>#REF!</v>
      </c>
      <c r="O34" s="62" t="e">
        <f>IF(AND('Mapa final'!#REF!="Media",'Mapa final'!#REF!="Leve"),CONCATENATE("R9C",'Mapa final'!#REF!),"")</f>
        <v>#REF!</v>
      </c>
      <c r="P34" s="60" t="e">
        <f>IF(AND('Mapa final'!#REF!="Media",'Mapa final'!#REF!="Menor"),CONCATENATE("R9C",'Mapa final'!#REF!),"")</f>
        <v>#REF!</v>
      </c>
      <c r="Q34" s="61" t="e">
        <f>IF(AND('Mapa final'!#REF!="Media",'Mapa final'!#REF!="Menor"),CONCATENATE("R9C",'Mapa final'!#REF!),"")</f>
        <v>#REF!</v>
      </c>
      <c r="R34" s="61" t="e">
        <f>IF(AND('Mapa final'!#REF!="Media",'Mapa final'!#REF!="Menor"),CONCATENATE("R9C",'Mapa final'!#REF!),"")</f>
        <v>#REF!</v>
      </c>
      <c r="S34" s="61" t="e">
        <f>IF(AND('Mapa final'!#REF!="Media",'Mapa final'!#REF!="Menor"),CONCATENATE("R9C",'Mapa final'!#REF!),"")</f>
        <v>#REF!</v>
      </c>
      <c r="T34" s="61" t="e">
        <f>IF(AND('Mapa final'!#REF!="Media",'Mapa final'!#REF!="Menor"),CONCATENATE("R9C",'Mapa final'!#REF!),"")</f>
        <v>#REF!</v>
      </c>
      <c r="U34" s="62" t="e">
        <f>IF(AND('Mapa final'!#REF!="Media",'Mapa final'!#REF!="Menor"),CONCATENATE("R9C",'Mapa final'!#REF!),"")</f>
        <v>#REF!</v>
      </c>
      <c r="V34" s="60" t="e">
        <f>IF(AND('Mapa final'!#REF!="Media",'Mapa final'!#REF!="Moderado"),CONCATENATE("R9C",'Mapa final'!#REF!),"")</f>
        <v>#REF!</v>
      </c>
      <c r="W34" s="61" t="e">
        <f>IF(AND('Mapa final'!#REF!="Media",'Mapa final'!#REF!="Moderado"),CONCATENATE("R9C",'Mapa final'!#REF!),"")</f>
        <v>#REF!</v>
      </c>
      <c r="X34" s="61" t="e">
        <f>IF(AND('Mapa final'!#REF!="Media",'Mapa final'!#REF!="Moderado"),CONCATENATE("R9C",'Mapa final'!#REF!),"")</f>
        <v>#REF!</v>
      </c>
      <c r="Y34" s="61" t="e">
        <f>IF(AND('Mapa final'!#REF!="Media",'Mapa final'!#REF!="Moderado"),CONCATENATE("R9C",'Mapa final'!#REF!),"")</f>
        <v>#REF!</v>
      </c>
      <c r="Z34" s="61" t="e">
        <f>IF(AND('Mapa final'!#REF!="Media",'Mapa final'!#REF!="Moderado"),CONCATENATE("R9C",'Mapa final'!#REF!),"")</f>
        <v>#REF!</v>
      </c>
      <c r="AA34" s="62" t="e">
        <f>IF(AND('Mapa final'!#REF!="Media",'Mapa final'!#REF!="Moderado"),CONCATENATE("R9C",'Mapa final'!#REF!),"")</f>
        <v>#REF!</v>
      </c>
      <c r="AB34" s="45" t="e">
        <f>IF(AND('Mapa final'!#REF!="Media",'Mapa final'!#REF!="Mayor"),CONCATENATE("R9C",'Mapa final'!#REF!),"")</f>
        <v>#REF!</v>
      </c>
      <c r="AC34" s="46" t="e">
        <f>IF(AND('Mapa final'!#REF!="Media",'Mapa final'!#REF!="Mayor"),CONCATENATE("R9C",'Mapa final'!#REF!),"")</f>
        <v>#REF!</v>
      </c>
      <c r="AD34" s="46" t="e">
        <f>IF(AND('Mapa final'!#REF!="Media",'Mapa final'!#REF!="Mayor"),CONCATENATE("R9C",'Mapa final'!#REF!),"")</f>
        <v>#REF!</v>
      </c>
      <c r="AE34" s="46" t="e">
        <f>IF(AND('Mapa final'!#REF!="Media",'Mapa final'!#REF!="Mayor"),CONCATENATE("R9C",'Mapa final'!#REF!),"")</f>
        <v>#REF!</v>
      </c>
      <c r="AF34" s="46" t="e">
        <f>IF(AND('Mapa final'!#REF!="Media",'Mapa final'!#REF!="Mayor"),CONCATENATE("R9C",'Mapa final'!#REF!),"")</f>
        <v>#REF!</v>
      </c>
      <c r="AG34" s="47" t="e">
        <f>IF(AND('Mapa final'!#REF!="Media",'Mapa final'!#REF!="Mayor"),CONCATENATE("R9C",'Mapa final'!#REF!),"")</f>
        <v>#REF!</v>
      </c>
      <c r="AH34" s="48" t="e">
        <f>IF(AND('Mapa final'!#REF!="Media",'Mapa final'!#REF!="Catastrófico"),CONCATENATE("R9C",'Mapa final'!#REF!),"")</f>
        <v>#REF!</v>
      </c>
      <c r="AI34" s="49" t="e">
        <f>IF(AND('Mapa final'!#REF!="Media",'Mapa final'!#REF!="Catastrófico"),CONCATENATE("R9C",'Mapa final'!#REF!),"")</f>
        <v>#REF!</v>
      </c>
      <c r="AJ34" s="49" t="e">
        <f>IF(AND('Mapa final'!#REF!="Media",'Mapa final'!#REF!="Catastrófico"),CONCATENATE("R9C",'Mapa final'!#REF!),"")</f>
        <v>#REF!</v>
      </c>
      <c r="AK34" s="49" t="e">
        <f>IF(AND('Mapa final'!#REF!="Media",'Mapa final'!#REF!="Catastrófico"),CONCATENATE("R9C",'Mapa final'!#REF!),"")</f>
        <v>#REF!</v>
      </c>
      <c r="AL34" s="49" t="e">
        <f>IF(AND('Mapa final'!#REF!="Media",'Mapa final'!#REF!="Catastrófico"),CONCATENATE("R9C",'Mapa final'!#REF!),"")</f>
        <v>#REF!</v>
      </c>
      <c r="AM34" s="50" t="e">
        <f>IF(AND('Mapa final'!#REF!="Media",'Mapa final'!#REF!="Catastrófico"),CONCATENATE("R9C",'Mapa final'!#REF!),"")</f>
        <v>#REF!</v>
      </c>
      <c r="AN34" s="76"/>
      <c r="AO34" s="526"/>
      <c r="AP34" s="527"/>
      <c r="AQ34" s="527"/>
      <c r="AR34" s="527"/>
      <c r="AS34" s="527"/>
      <c r="AT34" s="528"/>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row>
    <row r="35" spans="1:80" ht="15.75" customHeight="1" thickBot="1" x14ac:dyDescent="0.3">
      <c r="A35" s="76"/>
      <c r="B35" s="445"/>
      <c r="C35" s="445"/>
      <c r="D35" s="446"/>
      <c r="E35" s="489"/>
      <c r="F35" s="490"/>
      <c r="G35" s="490"/>
      <c r="H35" s="490"/>
      <c r="I35" s="491"/>
      <c r="J35" s="60" t="e">
        <f>IF(AND('Mapa final'!#REF!="Media",'Mapa final'!#REF!="Leve"),CONCATENATE("R10C",'Mapa final'!#REF!),"")</f>
        <v>#REF!</v>
      </c>
      <c r="K35" s="61" t="e">
        <f>IF(AND('Mapa final'!#REF!="Media",'Mapa final'!#REF!="Leve"),CONCATENATE("R10C",'Mapa final'!#REF!),"")</f>
        <v>#REF!</v>
      </c>
      <c r="L35" s="61" t="e">
        <f>IF(AND('Mapa final'!#REF!="Media",'Mapa final'!#REF!="Leve"),CONCATENATE("R10C",'Mapa final'!#REF!),"")</f>
        <v>#REF!</v>
      </c>
      <c r="M35" s="61" t="e">
        <f>IF(AND('Mapa final'!#REF!="Media",'Mapa final'!#REF!="Leve"),CONCATENATE("R10C",'Mapa final'!#REF!),"")</f>
        <v>#REF!</v>
      </c>
      <c r="N35" s="61" t="e">
        <f>IF(AND('Mapa final'!#REF!="Media",'Mapa final'!#REF!="Leve"),CONCATENATE("R10C",'Mapa final'!#REF!),"")</f>
        <v>#REF!</v>
      </c>
      <c r="O35" s="62" t="e">
        <f>IF(AND('Mapa final'!#REF!="Media",'Mapa final'!#REF!="Leve"),CONCATENATE("R10C",'Mapa final'!#REF!),"")</f>
        <v>#REF!</v>
      </c>
      <c r="P35" s="60" t="e">
        <f>IF(AND('Mapa final'!#REF!="Media",'Mapa final'!#REF!="Menor"),CONCATENATE("R10C",'Mapa final'!#REF!),"")</f>
        <v>#REF!</v>
      </c>
      <c r="Q35" s="61" t="e">
        <f>IF(AND('Mapa final'!#REF!="Media",'Mapa final'!#REF!="Menor"),CONCATENATE("R10C",'Mapa final'!#REF!),"")</f>
        <v>#REF!</v>
      </c>
      <c r="R35" s="61" t="e">
        <f>IF(AND('Mapa final'!#REF!="Media",'Mapa final'!#REF!="Menor"),CONCATENATE("R10C",'Mapa final'!#REF!),"")</f>
        <v>#REF!</v>
      </c>
      <c r="S35" s="61" t="e">
        <f>IF(AND('Mapa final'!#REF!="Media",'Mapa final'!#REF!="Menor"),CONCATENATE("R10C",'Mapa final'!#REF!),"")</f>
        <v>#REF!</v>
      </c>
      <c r="T35" s="61" t="e">
        <f>IF(AND('Mapa final'!#REF!="Media",'Mapa final'!#REF!="Menor"),CONCATENATE("R10C",'Mapa final'!#REF!),"")</f>
        <v>#REF!</v>
      </c>
      <c r="U35" s="62" t="e">
        <f>IF(AND('Mapa final'!#REF!="Media",'Mapa final'!#REF!="Menor"),CONCATENATE("R10C",'Mapa final'!#REF!),"")</f>
        <v>#REF!</v>
      </c>
      <c r="V35" s="60" t="e">
        <f>IF(AND('Mapa final'!#REF!="Media",'Mapa final'!#REF!="Moderado"),CONCATENATE("R10C",'Mapa final'!#REF!),"")</f>
        <v>#REF!</v>
      </c>
      <c r="W35" s="61" t="e">
        <f>IF(AND('Mapa final'!#REF!="Media",'Mapa final'!#REF!="Moderado"),CONCATENATE("R10C",'Mapa final'!#REF!),"")</f>
        <v>#REF!</v>
      </c>
      <c r="X35" s="61" t="e">
        <f>IF(AND('Mapa final'!#REF!="Media",'Mapa final'!#REF!="Moderado"),CONCATENATE("R10C",'Mapa final'!#REF!),"")</f>
        <v>#REF!</v>
      </c>
      <c r="Y35" s="61" t="e">
        <f>IF(AND('Mapa final'!#REF!="Media",'Mapa final'!#REF!="Moderado"),CONCATENATE("R10C",'Mapa final'!#REF!),"")</f>
        <v>#REF!</v>
      </c>
      <c r="Z35" s="61" t="e">
        <f>IF(AND('Mapa final'!#REF!="Media",'Mapa final'!#REF!="Moderado"),CONCATENATE("R10C",'Mapa final'!#REF!),"")</f>
        <v>#REF!</v>
      </c>
      <c r="AA35" s="62" t="e">
        <f>IF(AND('Mapa final'!#REF!="Media",'Mapa final'!#REF!="Moderado"),CONCATENATE("R10C",'Mapa final'!#REF!),"")</f>
        <v>#REF!</v>
      </c>
      <c r="AB35" s="51" t="e">
        <f>IF(AND('Mapa final'!#REF!="Media",'Mapa final'!#REF!="Mayor"),CONCATENATE("R10C",'Mapa final'!#REF!),"")</f>
        <v>#REF!</v>
      </c>
      <c r="AC35" s="52" t="e">
        <f>IF(AND('Mapa final'!#REF!="Media",'Mapa final'!#REF!="Mayor"),CONCATENATE("R10C",'Mapa final'!#REF!),"")</f>
        <v>#REF!</v>
      </c>
      <c r="AD35" s="52" t="e">
        <f>IF(AND('Mapa final'!#REF!="Media",'Mapa final'!#REF!="Mayor"),CONCATENATE("R10C",'Mapa final'!#REF!),"")</f>
        <v>#REF!</v>
      </c>
      <c r="AE35" s="52" t="e">
        <f>IF(AND('Mapa final'!#REF!="Media",'Mapa final'!#REF!="Mayor"),CONCATENATE("R10C",'Mapa final'!#REF!),"")</f>
        <v>#REF!</v>
      </c>
      <c r="AF35" s="52" t="e">
        <f>IF(AND('Mapa final'!#REF!="Media",'Mapa final'!#REF!="Mayor"),CONCATENATE("R10C",'Mapa final'!#REF!),"")</f>
        <v>#REF!</v>
      </c>
      <c r="AG35" s="53" t="e">
        <f>IF(AND('Mapa final'!#REF!="Media",'Mapa final'!#REF!="Mayor"),CONCATENATE("R10C",'Mapa final'!#REF!),"")</f>
        <v>#REF!</v>
      </c>
      <c r="AH35" s="54" t="e">
        <f>IF(AND('Mapa final'!#REF!="Media",'Mapa final'!#REF!="Catastrófico"),CONCATENATE("R10C",'Mapa final'!#REF!),"")</f>
        <v>#REF!</v>
      </c>
      <c r="AI35" s="55" t="e">
        <f>IF(AND('Mapa final'!#REF!="Media",'Mapa final'!#REF!="Catastrófico"),CONCATENATE("R10C",'Mapa final'!#REF!),"")</f>
        <v>#REF!</v>
      </c>
      <c r="AJ35" s="55" t="e">
        <f>IF(AND('Mapa final'!#REF!="Media",'Mapa final'!#REF!="Catastrófico"),CONCATENATE("R10C",'Mapa final'!#REF!),"")</f>
        <v>#REF!</v>
      </c>
      <c r="AK35" s="55" t="e">
        <f>IF(AND('Mapa final'!#REF!="Media",'Mapa final'!#REF!="Catastrófico"),CONCATENATE("R10C",'Mapa final'!#REF!),"")</f>
        <v>#REF!</v>
      </c>
      <c r="AL35" s="55" t="e">
        <f>IF(AND('Mapa final'!#REF!="Media",'Mapa final'!#REF!="Catastrófico"),CONCATENATE("R10C",'Mapa final'!#REF!),"")</f>
        <v>#REF!</v>
      </c>
      <c r="AM35" s="56" t="e">
        <f>IF(AND('Mapa final'!#REF!="Media",'Mapa final'!#REF!="Catastrófico"),CONCATENATE("R10C",'Mapa final'!#REF!),"")</f>
        <v>#REF!</v>
      </c>
      <c r="AN35" s="76"/>
      <c r="AO35" s="529"/>
      <c r="AP35" s="530"/>
      <c r="AQ35" s="530"/>
      <c r="AR35" s="530"/>
      <c r="AS35" s="530"/>
      <c r="AT35" s="531"/>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row>
    <row r="36" spans="1:80" ht="15" customHeight="1" x14ac:dyDescent="0.25">
      <c r="A36" s="76"/>
      <c r="B36" s="445"/>
      <c r="C36" s="445"/>
      <c r="D36" s="446"/>
      <c r="E36" s="483" t="s">
        <v>114</v>
      </c>
      <c r="F36" s="484"/>
      <c r="G36" s="484"/>
      <c r="H36" s="484"/>
      <c r="I36" s="484"/>
      <c r="J36" s="66" t="str">
        <f>IF(AND('Mapa final'!$AA$20="Baja",'Mapa final'!$AC$20="Leve"),CONCATENATE("R1C",'Mapa final'!$Q$20),"")</f>
        <v/>
      </c>
      <c r="K36" s="67" t="str">
        <f>IF(AND('Mapa final'!$AA$21="Baja",'Mapa final'!$AC$21="Leve"),CONCATENATE("R1C",'Mapa final'!$Q$21),"")</f>
        <v/>
      </c>
      <c r="L36" s="67" t="str">
        <f>IF(AND('Mapa final'!$AA$22="Baja",'Mapa final'!$AC$22="Leve"),CONCATENATE("R1C",'Mapa final'!$Q$22),"")</f>
        <v/>
      </c>
      <c r="M36" s="67" t="e">
        <f>IF(AND('Mapa final'!#REF!="Baja",'Mapa final'!#REF!="Leve"),CONCATENATE("R1C",'Mapa final'!#REF!),"")</f>
        <v>#REF!</v>
      </c>
      <c r="N36" s="67" t="e">
        <f>IF(AND('Mapa final'!#REF!="Baja",'Mapa final'!#REF!="Leve"),CONCATENATE("R1C",'Mapa final'!#REF!),"")</f>
        <v>#REF!</v>
      </c>
      <c r="O36" s="68" t="e">
        <f>IF(AND('Mapa final'!#REF!="Baja",'Mapa final'!#REF!="Leve"),CONCATENATE("R1C",'Mapa final'!#REF!),"")</f>
        <v>#REF!</v>
      </c>
      <c r="P36" s="57" t="str">
        <f>IF(AND('Mapa final'!$AA$20="Baja",'Mapa final'!$AC$20="Menor"),CONCATENATE("R1C",'Mapa final'!$Q$20),"")</f>
        <v/>
      </c>
      <c r="Q36" s="58" t="str">
        <f>IF(AND('Mapa final'!$AA$21="Baja",'Mapa final'!$AC$21="Menor"),CONCATENATE("R1C",'Mapa final'!$Q$21),"")</f>
        <v/>
      </c>
      <c r="R36" s="58" t="str">
        <f>IF(AND('Mapa final'!$AA$22="Baja",'Mapa final'!$AC$22="Menor"),CONCATENATE("R1C",'Mapa final'!$Q$22),"")</f>
        <v/>
      </c>
      <c r="S36" s="58" t="e">
        <f>IF(AND('Mapa final'!#REF!="Baja",'Mapa final'!#REF!="Menor"),CONCATENATE("R1C",'Mapa final'!#REF!),"")</f>
        <v>#REF!</v>
      </c>
      <c r="T36" s="58" t="e">
        <f>IF(AND('Mapa final'!#REF!="Baja",'Mapa final'!#REF!="Menor"),CONCATENATE("R1C",'Mapa final'!#REF!),"")</f>
        <v>#REF!</v>
      </c>
      <c r="U36" s="59" t="e">
        <f>IF(AND('Mapa final'!#REF!="Baja",'Mapa final'!#REF!="Menor"),CONCATENATE("R1C",'Mapa final'!#REF!),"")</f>
        <v>#REF!</v>
      </c>
      <c r="V36" s="57" t="str">
        <f>IF(AND('Mapa final'!$AA$20="Baja",'Mapa final'!$AC$20="Moderado"),CONCATENATE("R1C",'Mapa final'!$Q$20),"")</f>
        <v>R1C1</v>
      </c>
      <c r="W36" s="58" t="str">
        <f>IF(AND('Mapa final'!$AA$21="Baja",'Mapa final'!$AC$21="Moderado"),CONCATENATE("R1C",'Mapa final'!$Q$21),"")</f>
        <v>R1C2</v>
      </c>
      <c r="X36" s="58" t="str">
        <f>IF(AND('Mapa final'!$AA$22="Baja",'Mapa final'!$AC$22="Moderado"),CONCATENATE("R1C",'Mapa final'!$Q$22),"")</f>
        <v/>
      </c>
      <c r="Y36" s="58" t="e">
        <f>IF(AND('Mapa final'!#REF!="Baja",'Mapa final'!#REF!="Moderado"),CONCATENATE("R1C",'Mapa final'!#REF!),"")</f>
        <v>#REF!</v>
      </c>
      <c r="Z36" s="58" t="e">
        <f>IF(AND('Mapa final'!#REF!="Baja",'Mapa final'!#REF!="Moderado"),CONCATENATE("R1C",'Mapa final'!#REF!),"")</f>
        <v>#REF!</v>
      </c>
      <c r="AA36" s="59" t="e">
        <f>IF(AND('Mapa final'!#REF!="Baja",'Mapa final'!#REF!="Moderado"),CONCATENATE("R1C",'Mapa final'!#REF!),"")</f>
        <v>#REF!</v>
      </c>
      <c r="AB36" s="39" t="str">
        <f>IF(AND('Mapa final'!$AA$20="Baja",'Mapa final'!$AC$20="Mayor"),CONCATENATE("R1C",'Mapa final'!$Q$20),"")</f>
        <v/>
      </c>
      <c r="AC36" s="40" t="str">
        <f>IF(AND('Mapa final'!$AA$21="Baja",'Mapa final'!$AC$21="Mayor"),CONCATENATE("R1C",'Mapa final'!$Q$21),"")</f>
        <v/>
      </c>
      <c r="AD36" s="40" t="str">
        <f>IF(AND('Mapa final'!$AA$22="Baja",'Mapa final'!$AC$22="Mayor"),CONCATENATE("R1C",'Mapa final'!$Q$22),"")</f>
        <v/>
      </c>
      <c r="AE36" s="40" t="e">
        <f>IF(AND('Mapa final'!#REF!="Baja",'Mapa final'!#REF!="Mayor"),CONCATENATE("R1C",'Mapa final'!#REF!),"")</f>
        <v>#REF!</v>
      </c>
      <c r="AF36" s="40" t="e">
        <f>IF(AND('Mapa final'!#REF!="Baja",'Mapa final'!#REF!="Mayor"),CONCATENATE("R1C",'Mapa final'!#REF!),"")</f>
        <v>#REF!</v>
      </c>
      <c r="AG36" s="41" t="e">
        <f>IF(AND('Mapa final'!#REF!="Baja",'Mapa final'!#REF!="Mayor"),CONCATENATE("R1C",'Mapa final'!#REF!),"")</f>
        <v>#REF!</v>
      </c>
      <c r="AH36" s="42" t="str">
        <f>IF(AND('Mapa final'!$AA$20="Baja",'Mapa final'!$AC$20="Catastrófico"),CONCATENATE("R1C",'Mapa final'!$Q$20),"")</f>
        <v/>
      </c>
      <c r="AI36" s="43" t="str">
        <f>IF(AND('Mapa final'!$AA$21="Baja",'Mapa final'!$AC$21="Catastrófico"),CONCATENATE("R1C",'Mapa final'!$Q$21),"")</f>
        <v/>
      </c>
      <c r="AJ36" s="43" t="str">
        <f>IF(AND('Mapa final'!$AA$22="Baja",'Mapa final'!$AC$22="Catastrófico"),CONCATENATE("R1C",'Mapa final'!$Q$22),"")</f>
        <v/>
      </c>
      <c r="AK36" s="43" t="e">
        <f>IF(AND('Mapa final'!#REF!="Baja",'Mapa final'!#REF!="Catastrófico"),CONCATENATE("R1C",'Mapa final'!#REF!),"")</f>
        <v>#REF!</v>
      </c>
      <c r="AL36" s="43" t="e">
        <f>IF(AND('Mapa final'!#REF!="Baja",'Mapa final'!#REF!="Catastrófico"),CONCATENATE("R1C",'Mapa final'!#REF!),"")</f>
        <v>#REF!</v>
      </c>
      <c r="AM36" s="44" t="e">
        <f>IF(AND('Mapa final'!#REF!="Baja",'Mapa final'!#REF!="Catastrófico"),CONCATENATE("R1C",'Mapa final'!#REF!),"")</f>
        <v>#REF!</v>
      </c>
      <c r="AN36" s="76"/>
      <c r="AO36" s="514" t="s">
        <v>82</v>
      </c>
      <c r="AP36" s="515"/>
      <c r="AQ36" s="515"/>
      <c r="AR36" s="515"/>
      <c r="AS36" s="515"/>
      <c r="AT36" s="51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row>
    <row r="37" spans="1:80" ht="15" customHeight="1" x14ac:dyDescent="0.25">
      <c r="A37" s="76"/>
      <c r="B37" s="445"/>
      <c r="C37" s="445"/>
      <c r="D37" s="446"/>
      <c r="E37" s="502"/>
      <c r="F37" s="487"/>
      <c r="G37" s="487"/>
      <c r="H37" s="487"/>
      <c r="I37" s="487"/>
      <c r="J37" s="69" t="str">
        <f>IF(AND('Mapa final'!$AA$23="Baja",'Mapa final'!$AC$23="Leve"),CONCATENATE("R2C",'Mapa final'!$Q$23),"")</f>
        <v/>
      </c>
      <c r="K37" s="70" t="e">
        <f>IF(AND('Mapa final'!#REF!="Baja",'Mapa final'!#REF!="Leve"),CONCATENATE("R2C",'Mapa final'!#REF!),"")</f>
        <v>#REF!</v>
      </c>
      <c r="L37" s="70" t="e">
        <f>IF(AND('Mapa final'!#REF!="Baja",'Mapa final'!#REF!="Leve"),CONCATENATE("R2C",'Mapa final'!#REF!),"")</f>
        <v>#REF!</v>
      </c>
      <c r="M37" s="70" t="e">
        <f>IF(AND('Mapa final'!#REF!="Baja",'Mapa final'!#REF!="Leve"),CONCATENATE("R2C",'Mapa final'!#REF!),"")</f>
        <v>#REF!</v>
      </c>
      <c r="N37" s="70" t="e">
        <f>IF(AND('Mapa final'!#REF!="Baja",'Mapa final'!#REF!="Leve"),CONCATENATE("R2C",'Mapa final'!#REF!),"")</f>
        <v>#REF!</v>
      </c>
      <c r="O37" s="71" t="e">
        <f>IF(AND('Mapa final'!#REF!="Baja",'Mapa final'!#REF!="Leve"),CONCATENATE("R2C",'Mapa final'!#REF!),"")</f>
        <v>#REF!</v>
      </c>
      <c r="P37" s="60" t="str">
        <f>IF(AND('Mapa final'!$AA$23="Baja",'Mapa final'!$AC$23="Menor"),CONCATENATE("R2C",'Mapa final'!$Q$23),"")</f>
        <v>R2C1</v>
      </c>
      <c r="Q37" s="61" t="e">
        <f>IF(AND('Mapa final'!#REF!="Baja",'Mapa final'!#REF!="Menor"),CONCATENATE("R2C",'Mapa final'!#REF!),"")</f>
        <v>#REF!</v>
      </c>
      <c r="R37" s="61" t="e">
        <f>IF(AND('Mapa final'!#REF!="Baja",'Mapa final'!#REF!="Menor"),CONCATENATE("R2C",'Mapa final'!#REF!),"")</f>
        <v>#REF!</v>
      </c>
      <c r="S37" s="61" t="e">
        <f>IF(AND('Mapa final'!#REF!="Baja",'Mapa final'!#REF!="Menor"),CONCATENATE("R2C",'Mapa final'!#REF!),"")</f>
        <v>#REF!</v>
      </c>
      <c r="T37" s="61" t="e">
        <f>IF(AND('Mapa final'!#REF!="Baja",'Mapa final'!#REF!="Menor"),CONCATENATE("R2C",'Mapa final'!#REF!),"")</f>
        <v>#REF!</v>
      </c>
      <c r="U37" s="62" t="e">
        <f>IF(AND('Mapa final'!#REF!="Baja",'Mapa final'!#REF!="Menor"),CONCATENATE("R2C",'Mapa final'!#REF!),"")</f>
        <v>#REF!</v>
      </c>
      <c r="V37" s="60" t="str">
        <f>IF(AND('Mapa final'!$AA$23="Baja",'Mapa final'!$AC$23="Moderado"),CONCATENATE("R2C",'Mapa final'!$Q$23),"")</f>
        <v/>
      </c>
      <c r="W37" s="61" t="e">
        <f>IF(AND('Mapa final'!#REF!="Baja",'Mapa final'!#REF!="Moderado"),CONCATENATE("R2C",'Mapa final'!#REF!),"")</f>
        <v>#REF!</v>
      </c>
      <c r="X37" s="61" t="e">
        <f>IF(AND('Mapa final'!#REF!="Baja",'Mapa final'!#REF!="Moderado"),CONCATENATE("R2C",'Mapa final'!#REF!),"")</f>
        <v>#REF!</v>
      </c>
      <c r="Y37" s="61" t="e">
        <f>IF(AND('Mapa final'!#REF!="Baja",'Mapa final'!#REF!="Moderado"),CONCATENATE("R2C",'Mapa final'!#REF!),"")</f>
        <v>#REF!</v>
      </c>
      <c r="Z37" s="61" t="e">
        <f>IF(AND('Mapa final'!#REF!="Baja",'Mapa final'!#REF!="Moderado"),CONCATENATE("R2C",'Mapa final'!#REF!),"")</f>
        <v>#REF!</v>
      </c>
      <c r="AA37" s="62" t="e">
        <f>IF(AND('Mapa final'!#REF!="Baja",'Mapa final'!#REF!="Moderado"),CONCATENATE("R2C",'Mapa final'!#REF!),"")</f>
        <v>#REF!</v>
      </c>
      <c r="AB37" s="45" t="str">
        <f>IF(AND('Mapa final'!$AA$23="Baja",'Mapa final'!$AC$23="Mayor"),CONCATENATE("R2C",'Mapa final'!$Q$23),"")</f>
        <v/>
      </c>
      <c r="AC37" s="46" t="e">
        <f>IF(AND('Mapa final'!#REF!="Baja",'Mapa final'!#REF!="Mayor"),CONCATENATE("R2C",'Mapa final'!#REF!),"")</f>
        <v>#REF!</v>
      </c>
      <c r="AD37" s="46" t="e">
        <f>IF(AND('Mapa final'!#REF!="Baja",'Mapa final'!#REF!="Mayor"),CONCATENATE("R2C",'Mapa final'!#REF!),"")</f>
        <v>#REF!</v>
      </c>
      <c r="AE37" s="46" t="e">
        <f>IF(AND('Mapa final'!#REF!="Baja",'Mapa final'!#REF!="Mayor"),CONCATENATE("R2C",'Mapa final'!#REF!),"")</f>
        <v>#REF!</v>
      </c>
      <c r="AF37" s="46" t="e">
        <f>IF(AND('Mapa final'!#REF!="Baja",'Mapa final'!#REF!="Mayor"),CONCATENATE("R2C",'Mapa final'!#REF!),"")</f>
        <v>#REF!</v>
      </c>
      <c r="AG37" s="47" t="e">
        <f>IF(AND('Mapa final'!#REF!="Baja",'Mapa final'!#REF!="Mayor"),CONCATENATE("R2C",'Mapa final'!#REF!),"")</f>
        <v>#REF!</v>
      </c>
      <c r="AH37" s="48" t="str">
        <f>IF(AND('Mapa final'!$AA$23="Baja",'Mapa final'!$AC$23="Catastrófico"),CONCATENATE("R2C",'Mapa final'!$Q$23),"")</f>
        <v/>
      </c>
      <c r="AI37" s="49" t="e">
        <f>IF(AND('Mapa final'!#REF!="Baja",'Mapa final'!#REF!="Catastrófico"),CONCATENATE("R2C",'Mapa final'!#REF!),"")</f>
        <v>#REF!</v>
      </c>
      <c r="AJ37" s="49" t="e">
        <f>IF(AND('Mapa final'!#REF!="Baja",'Mapa final'!#REF!="Catastrófico"),CONCATENATE("R2C",'Mapa final'!#REF!),"")</f>
        <v>#REF!</v>
      </c>
      <c r="AK37" s="49" t="e">
        <f>IF(AND('Mapa final'!#REF!="Baja",'Mapa final'!#REF!="Catastrófico"),CONCATENATE("R2C",'Mapa final'!#REF!),"")</f>
        <v>#REF!</v>
      </c>
      <c r="AL37" s="49" t="e">
        <f>IF(AND('Mapa final'!#REF!="Baja",'Mapa final'!#REF!="Catastrófico"),CONCATENATE("R2C",'Mapa final'!#REF!),"")</f>
        <v>#REF!</v>
      </c>
      <c r="AM37" s="50" t="e">
        <f>IF(AND('Mapa final'!#REF!="Baja",'Mapa final'!#REF!="Catastrófico"),CONCATENATE("R2C",'Mapa final'!#REF!),"")</f>
        <v>#REF!</v>
      </c>
      <c r="AN37" s="76"/>
      <c r="AO37" s="517"/>
      <c r="AP37" s="518"/>
      <c r="AQ37" s="518"/>
      <c r="AR37" s="518"/>
      <c r="AS37" s="518"/>
      <c r="AT37" s="519"/>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row>
    <row r="38" spans="1:80" ht="15" customHeight="1" x14ac:dyDescent="0.25">
      <c r="A38" s="76"/>
      <c r="B38" s="445"/>
      <c r="C38" s="445"/>
      <c r="D38" s="446"/>
      <c r="E38" s="486"/>
      <c r="F38" s="487"/>
      <c r="G38" s="487"/>
      <c r="H38" s="487"/>
      <c r="I38" s="487"/>
      <c r="J38" s="69" t="str">
        <f>IF(AND('Mapa final'!$AA$24="Baja",'Mapa final'!$AC$24="Leve"),CONCATENATE("R3C",'Mapa final'!$Q$24),"")</f>
        <v/>
      </c>
      <c r="K38" s="70" t="str">
        <f>IF(AND('Mapa final'!$AA$25="Baja",'Mapa final'!$AC$25="Leve"),CONCATENATE("R3C",'Mapa final'!$Q$25),"")</f>
        <v/>
      </c>
      <c r="L38" s="70" t="str">
        <f>IF(AND('Mapa final'!$AA$26="Baja",'Mapa final'!$AC$26="Leve"),CONCATENATE("R3C",'Mapa final'!$Q$26),"")</f>
        <v/>
      </c>
      <c r="M38" s="70" t="e">
        <f>IF(AND('Mapa final'!#REF!="Baja",'Mapa final'!#REF!="Leve"),CONCATENATE("R3C",'Mapa final'!#REF!),"")</f>
        <v>#REF!</v>
      </c>
      <c r="N38" s="70" t="e">
        <f>IF(AND('Mapa final'!#REF!="Baja",'Mapa final'!#REF!="Leve"),CONCATENATE("R3C",'Mapa final'!#REF!),"")</f>
        <v>#REF!</v>
      </c>
      <c r="O38" s="71" t="e">
        <f>IF(AND('Mapa final'!#REF!="Baja",'Mapa final'!#REF!="Leve"),CONCATENATE("R3C",'Mapa final'!#REF!),"")</f>
        <v>#REF!</v>
      </c>
      <c r="P38" s="60" t="str">
        <f>IF(AND('Mapa final'!$AA$24="Baja",'Mapa final'!$AC$24="Menor"),CONCATENATE("R3C",'Mapa final'!$Q$24),"")</f>
        <v/>
      </c>
      <c r="Q38" s="61" t="str">
        <f>IF(AND('Mapa final'!$AA$25="Baja",'Mapa final'!$AC$25="Menor"),CONCATENATE("R3C",'Mapa final'!$Q$25),"")</f>
        <v>R3C2</v>
      </c>
      <c r="R38" s="61" t="str">
        <f>IF(AND('Mapa final'!$AA$26="Baja",'Mapa final'!$AC$26="Menor"),CONCATENATE("R3C",'Mapa final'!$Q$26),"")</f>
        <v/>
      </c>
      <c r="S38" s="61" t="e">
        <f>IF(AND('Mapa final'!#REF!="Baja",'Mapa final'!#REF!="Menor"),CONCATENATE("R3C",'Mapa final'!#REF!),"")</f>
        <v>#REF!</v>
      </c>
      <c r="T38" s="61" t="e">
        <f>IF(AND('Mapa final'!#REF!="Baja",'Mapa final'!#REF!="Menor"),CONCATENATE("R3C",'Mapa final'!#REF!),"")</f>
        <v>#REF!</v>
      </c>
      <c r="U38" s="62" t="e">
        <f>IF(AND('Mapa final'!#REF!="Baja",'Mapa final'!#REF!="Menor"),CONCATENATE("R3C",'Mapa final'!#REF!),"")</f>
        <v>#REF!</v>
      </c>
      <c r="V38" s="60" t="str">
        <f>IF(AND('Mapa final'!$AA$24="Baja",'Mapa final'!$AC$24="Moderado"),CONCATENATE("R3C",'Mapa final'!$Q$24),"")</f>
        <v/>
      </c>
      <c r="W38" s="61" t="str">
        <f>IF(AND('Mapa final'!$AA$25="Baja",'Mapa final'!$AC$25="Moderado"),CONCATENATE("R3C",'Mapa final'!$Q$25),"")</f>
        <v/>
      </c>
      <c r="X38" s="61" t="str">
        <f>IF(AND('Mapa final'!$AA$26="Baja",'Mapa final'!$AC$26="Moderado"),CONCATENATE("R3C",'Mapa final'!$Q$26),"")</f>
        <v/>
      </c>
      <c r="Y38" s="61" t="e">
        <f>IF(AND('Mapa final'!#REF!="Baja",'Mapa final'!#REF!="Moderado"),CONCATENATE("R3C",'Mapa final'!#REF!),"")</f>
        <v>#REF!</v>
      </c>
      <c r="Z38" s="61" t="e">
        <f>IF(AND('Mapa final'!#REF!="Baja",'Mapa final'!#REF!="Moderado"),CONCATENATE("R3C",'Mapa final'!#REF!),"")</f>
        <v>#REF!</v>
      </c>
      <c r="AA38" s="62" t="e">
        <f>IF(AND('Mapa final'!#REF!="Baja",'Mapa final'!#REF!="Moderado"),CONCATENATE("R3C",'Mapa final'!#REF!),"")</f>
        <v>#REF!</v>
      </c>
      <c r="AB38" s="45" t="str">
        <f>IF(AND('Mapa final'!$AA$24="Baja",'Mapa final'!$AC$24="Mayor"),CONCATENATE("R3C",'Mapa final'!$Q$24),"")</f>
        <v>R3C1</v>
      </c>
      <c r="AC38" s="46" t="str">
        <f>IF(AND('Mapa final'!$AA$25="Baja",'Mapa final'!$AC$25="Mayor"),CONCATENATE("R3C",'Mapa final'!$Q$25),"")</f>
        <v/>
      </c>
      <c r="AD38" s="46" t="str">
        <f>IF(AND('Mapa final'!$AA$26="Baja",'Mapa final'!$AC$26="Mayor"),CONCATENATE("R3C",'Mapa final'!$Q$26),"")</f>
        <v/>
      </c>
      <c r="AE38" s="46" t="e">
        <f>IF(AND('Mapa final'!#REF!="Baja",'Mapa final'!#REF!="Mayor"),CONCATENATE("R3C",'Mapa final'!#REF!),"")</f>
        <v>#REF!</v>
      </c>
      <c r="AF38" s="46" t="e">
        <f>IF(AND('Mapa final'!#REF!="Baja",'Mapa final'!#REF!="Mayor"),CONCATENATE("R3C",'Mapa final'!#REF!),"")</f>
        <v>#REF!</v>
      </c>
      <c r="AG38" s="47" t="e">
        <f>IF(AND('Mapa final'!#REF!="Baja",'Mapa final'!#REF!="Mayor"),CONCATENATE("R3C",'Mapa final'!#REF!),"")</f>
        <v>#REF!</v>
      </c>
      <c r="AH38" s="48" t="str">
        <f>IF(AND('Mapa final'!$AA$24="Baja",'Mapa final'!$AC$24="Catastrófico"),CONCATENATE("R3C",'Mapa final'!$Q$24),"")</f>
        <v/>
      </c>
      <c r="AI38" s="49" t="str">
        <f>IF(AND('Mapa final'!$AA$25="Baja",'Mapa final'!$AC$25="Catastrófico"),CONCATENATE("R3C",'Mapa final'!$Q$25),"")</f>
        <v/>
      </c>
      <c r="AJ38" s="49" t="str">
        <f>IF(AND('Mapa final'!$AA$26="Baja",'Mapa final'!$AC$26="Catastrófico"),CONCATENATE("R3C",'Mapa final'!$Q$26),"")</f>
        <v/>
      </c>
      <c r="AK38" s="49" t="e">
        <f>IF(AND('Mapa final'!#REF!="Baja",'Mapa final'!#REF!="Catastrófico"),CONCATENATE("R3C",'Mapa final'!#REF!),"")</f>
        <v>#REF!</v>
      </c>
      <c r="AL38" s="49" t="e">
        <f>IF(AND('Mapa final'!#REF!="Baja",'Mapa final'!#REF!="Catastrófico"),CONCATENATE("R3C",'Mapa final'!#REF!),"")</f>
        <v>#REF!</v>
      </c>
      <c r="AM38" s="50" t="e">
        <f>IF(AND('Mapa final'!#REF!="Baja",'Mapa final'!#REF!="Catastrófico"),CONCATENATE("R3C",'Mapa final'!#REF!),"")</f>
        <v>#REF!</v>
      </c>
      <c r="AN38" s="76"/>
      <c r="AO38" s="517"/>
      <c r="AP38" s="518"/>
      <c r="AQ38" s="518"/>
      <c r="AR38" s="518"/>
      <c r="AS38" s="518"/>
      <c r="AT38" s="519"/>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row>
    <row r="39" spans="1:80" ht="15" customHeight="1" x14ac:dyDescent="0.25">
      <c r="A39" s="76"/>
      <c r="B39" s="445"/>
      <c r="C39" s="445"/>
      <c r="D39" s="446"/>
      <c r="E39" s="486"/>
      <c r="F39" s="487"/>
      <c r="G39" s="487"/>
      <c r="H39" s="487"/>
      <c r="I39" s="487"/>
      <c r="J39" s="69" t="str">
        <f>IF(AND('Mapa final'!$AA$27="Baja",'Mapa final'!$AC$27="Leve"),CONCATENATE("R4C",'Mapa final'!$Q$27),"")</f>
        <v/>
      </c>
      <c r="K39" s="70" t="str">
        <f>IF(AND('Mapa final'!$AA$29="Baja",'Mapa final'!$AC$29="Leve"),CONCATENATE("R4C",'Mapa final'!$Q$29),"")</f>
        <v/>
      </c>
      <c r="L39" s="70" t="e">
        <f>IF(AND('Mapa final'!#REF!="Baja",'Mapa final'!#REF!="Leve"),CONCATENATE("R4C",'Mapa final'!#REF!),"")</f>
        <v>#REF!</v>
      </c>
      <c r="M39" s="70" t="e">
        <f>IF(AND('Mapa final'!#REF!="Baja",'Mapa final'!#REF!="Leve"),CONCATENATE("R4C",'Mapa final'!#REF!),"")</f>
        <v>#REF!</v>
      </c>
      <c r="N39" s="70" t="e">
        <f>IF(AND('Mapa final'!#REF!="Baja",'Mapa final'!#REF!="Leve"),CONCATENATE("R4C",'Mapa final'!#REF!),"")</f>
        <v>#REF!</v>
      </c>
      <c r="O39" s="71" t="e">
        <f>IF(AND('Mapa final'!#REF!="Baja",'Mapa final'!#REF!="Leve"),CONCATENATE("R4C",'Mapa final'!#REF!),"")</f>
        <v>#REF!</v>
      </c>
      <c r="P39" s="60" t="str">
        <f>IF(AND('Mapa final'!$AA$27="Baja",'Mapa final'!$AC$27="Menor"),CONCATENATE("R4C",'Mapa final'!$Q$27),"")</f>
        <v/>
      </c>
      <c r="Q39" s="61" t="str">
        <f>IF(AND('Mapa final'!$AA$29="Baja",'Mapa final'!$AC$29="Menor"),CONCATENATE("R4C",'Mapa final'!$Q$29),"")</f>
        <v/>
      </c>
      <c r="R39" s="61" t="e">
        <f>IF(AND('Mapa final'!#REF!="Baja",'Mapa final'!#REF!="Menor"),CONCATENATE("R4C",'Mapa final'!#REF!),"")</f>
        <v>#REF!</v>
      </c>
      <c r="S39" s="61" t="e">
        <f>IF(AND('Mapa final'!#REF!="Baja",'Mapa final'!#REF!="Menor"),CONCATENATE("R4C",'Mapa final'!#REF!),"")</f>
        <v>#REF!</v>
      </c>
      <c r="T39" s="61" t="e">
        <f>IF(AND('Mapa final'!#REF!="Baja",'Mapa final'!#REF!="Menor"),CONCATENATE("R4C",'Mapa final'!#REF!),"")</f>
        <v>#REF!</v>
      </c>
      <c r="U39" s="62" t="e">
        <f>IF(AND('Mapa final'!#REF!="Baja",'Mapa final'!#REF!="Menor"),CONCATENATE("R4C",'Mapa final'!#REF!),"")</f>
        <v>#REF!</v>
      </c>
      <c r="V39" s="60" t="str">
        <f>IF(AND('Mapa final'!$AA$27="Baja",'Mapa final'!$AC$27="Moderado"),CONCATENATE("R4C",'Mapa final'!$Q$27),"")</f>
        <v>R4C1</v>
      </c>
      <c r="W39" s="61" t="str">
        <f>IF(AND('Mapa final'!$AA$29="Baja",'Mapa final'!$AC$29="Moderado"),CONCATENATE("R4C",'Mapa final'!$Q$29),"")</f>
        <v/>
      </c>
      <c r="X39" s="61" t="e">
        <f>IF(AND('Mapa final'!#REF!="Baja",'Mapa final'!#REF!="Moderado"),CONCATENATE("R4C",'Mapa final'!#REF!),"")</f>
        <v>#REF!</v>
      </c>
      <c r="Y39" s="61" t="e">
        <f>IF(AND('Mapa final'!#REF!="Baja",'Mapa final'!#REF!="Moderado"),CONCATENATE("R4C",'Mapa final'!#REF!),"")</f>
        <v>#REF!</v>
      </c>
      <c r="Z39" s="61" t="e">
        <f>IF(AND('Mapa final'!#REF!="Baja",'Mapa final'!#REF!="Moderado"),CONCATENATE("R4C",'Mapa final'!#REF!),"")</f>
        <v>#REF!</v>
      </c>
      <c r="AA39" s="62" t="e">
        <f>IF(AND('Mapa final'!#REF!="Baja",'Mapa final'!#REF!="Moderado"),CONCATENATE("R4C",'Mapa final'!#REF!),"")</f>
        <v>#REF!</v>
      </c>
      <c r="AB39" s="45" t="str">
        <f>IF(AND('Mapa final'!$AA$27="Baja",'Mapa final'!$AC$27="Mayor"),CONCATENATE("R4C",'Mapa final'!$Q$27),"")</f>
        <v/>
      </c>
      <c r="AC39" s="46" t="str">
        <f>IF(AND('Mapa final'!$AA$29="Baja",'Mapa final'!$AC$29="Mayor"),CONCATENATE("R4C",'Mapa final'!$Q$29),"")</f>
        <v>R4C3</v>
      </c>
      <c r="AD39" s="46" t="e">
        <f>IF(AND('Mapa final'!#REF!="Baja",'Mapa final'!#REF!="Mayor"),CONCATENATE("R4C",'Mapa final'!#REF!),"")</f>
        <v>#REF!</v>
      </c>
      <c r="AE39" s="46" t="e">
        <f>IF(AND('Mapa final'!#REF!="Baja",'Mapa final'!#REF!="Mayor"),CONCATENATE("R4C",'Mapa final'!#REF!),"")</f>
        <v>#REF!</v>
      </c>
      <c r="AF39" s="46" t="e">
        <f>IF(AND('Mapa final'!#REF!="Baja",'Mapa final'!#REF!="Mayor"),CONCATENATE("R4C",'Mapa final'!#REF!),"")</f>
        <v>#REF!</v>
      </c>
      <c r="AG39" s="47" t="e">
        <f>IF(AND('Mapa final'!#REF!="Baja",'Mapa final'!#REF!="Mayor"),CONCATENATE("R4C",'Mapa final'!#REF!),"")</f>
        <v>#REF!</v>
      </c>
      <c r="AH39" s="48" t="str">
        <f>IF(AND('Mapa final'!$AA$27="Baja",'Mapa final'!$AC$27="Catastrófico"),CONCATENATE("R4C",'Mapa final'!$Q$27),"")</f>
        <v/>
      </c>
      <c r="AI39" s="49" t="str">
        <f>IF(AND('Mapa final'!$AA$29="Baja",'Mapa final'!$AC$29="Catastrófico"),CONCATENATE("R4C",'Mapa final'!$Q$29),"")</f>
        <v/>
      </c>
      <c r="AJ39" s="49" t="e">
        <f>IF(AND('Mapa final'!#REF!="Baja",'Mapa final'!#REF!="Catastrófico"),CONCATENATE("R4C",'Mapa final'!#REF!),"")</f>
        <v>#REF!</v>
      </c>
      <c r="AK39" s="49" t="e">
        <f>IF(AND('Mapa final'!#REF!="Baja",'Mapa final'!#REF!="Catastrófico"),CONCATENATE("R4C",'Mapa final'!#REF!),"")</f>
        <v>#REF!</v>
      </c>
      <c r="AL39" s="49" t="e">
        <f>IF(AND('Mapa final'!#REF!="Baja",'Mapa final'!#REF!="Catastrófico"),CONCATENATE("R4C",'Mapa final'!#REF!),"")</f>
        <v>#REF!</v>
      </c>
      <c r="AM39" s="50" t="e">
        <f>IF(AND('Mapa final'!#REF!="Baja",'Mapa final'!#REF!="Catastrófico"),CONCATENATE("R4C",'Mapa final'!#REF!),"")</f>
        <v>#REF!</v>
      </c>
      <c r="AN39" s="76"/>
      <c r="AO39" s="517"/>
      <c r="AP39" s="518"/>
      <c r="AQ39" s="518"/>
      <c r="AR39" s="518"/>
      <c r="AS39" s="518"/>
      <c r="AT39" s="519"/>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row>
    <row r="40" spans="1:80" ht="15" customHeight="1" x14ac:dyDescent="0.25">
      <c r="A40" s="76"/>
      <c r="B40" s="445"/>
      <c r="C40" s="445"/>
      <c r="D40" s="446"/>
      <c r="E40" s="486"/>
      <c r="F40" s="487"/>
      <c r="G40" s="487"/>
      <c r="H40" s="487"/>
      <c r="I40" s="487"/>
      <c r="J40" s="69" t="str">
        <f>IF(AND('Mapa final'!$AA$30="Baja",'Mapa final'!$AC$30="Leve"),CONCATENATE("R5C",'Mapa final'!$Q$30),"")</f>
        <v/>
      </c>
      <c r="K40" s="70" t="e">
        <f>IF(AND('Mapa final'!#REF!="Baja",'Mapa final'!#REF!="Leve"),CONCATENATE("R5C",'Mapa final'!#REF!),"")</f>
        <v>#REF!</v>
      </c>
      <c r="L40" s="70" t="e">
        <f>IF(AND('Mapa final'!#REF!="Baja",'Mapa final'!#REF!="Leve"),CONCATENATE("R5C",'Mapa final'!#REF!),"")</f>
        <v>#REF!</v>
      </c>
      <c r="M40" s="70" t="e">
        <f>IF(AND('Mapa final'!#REF!="Baja",'Mapa final'!#REF!="Leve"),CONCATENATE("R5C",'Mapa final'!#REF!),"")</f>
        <v>#REF!</v>
      </c>
      <c r="N40" s="70" t="e">
        <f>IF(AND('Mapa final'!#REF!="Baja",'Mapa final'!#REF!="Leve"),CONCATENATE("R5C",'Mapa final'!#REF!),"")</f>
        <v>#REF!</v>
      </c>
      <c r="O40" s="71" t="e">
        <f>IF(AND('Mapa final'!#REF!="Baja",'Mapa final'!#REF!="Leve"),CONCATENATE("R5C",'Mapa final'!#REF!),"")</f>
        <v>#REF!</v>
      </c>
      <c r="P40" s="60" t="str">
        <f>IF(AND('Mapa final'!$AA$30="Baja",'Mapa final'!$AC$30="Menor"),CONCATENATE("R5C",'Mapa final'!$Q$30),"")</f>
        <v/>
      </c>
      <c r="Q40" s="61" t="e">
        <f>IF(AND('Mapa final'!#REF!="Baja",'Mapa final'!#REF!="Menor"),CONCATENATE("R5C",'Mapa final'!#REF!),"")</f>
        <v>#REF!</v>
      </c>
      <c r="R40" s="61" t="e">
        <f>IF(AND('Mapa final'!#REF!="Baja",'Mapa final'!#REF!="Menor"),CONCATENATE("R5C",'Mapa final'!#REF!),"")</f>
        <v>#REF!</v>
      </c>
      <c r="S40" s="61" t="e">
        <f>IF(AND('Mapa final'!#REF!="Baja",'Mapa final'!#REF!="Menor"),CONCATENATE("R5C",'Mapa final'!#REF!),"")</f>
        <v>#REF!</v>
      </c>
      <c r="T40" s="61" t="e">
        <f>IF(AND('Mapa final'!#REF!="Baja",'Mapa final'!#REF!="Menor"),CONCATENATE("R5C",'Mapa final'!#REF!),"")</f>
        <v>#REF!</v>
      </c>
      <c r="U40" s="62" t="e">
        <f>IF(AND('Mapa final'!#REF!="Baja",'Mapa final'!#REF!="Menor"),CONCATENATE("R5C",'Mapa final'!#REF!),"")</f>
        <v>#REF!</v>
      </c>
      <c r="V40" s="60" t="str">
        <f>IF(AND('Mapa final'!$AA$30="Baja",'Mapa final'!$AC$30="Moderado"),CONCATENATE("R5C",'Mapa final'!$Q$30),"")</f>
        <v/>
      </c>
      <c r="W40" s="61" t="e">
        <f>IF(AND('Mapa final'!#REF!="Baja",'Mapa final'!#REF!="Moderado"),CONCATENATE("R5C",'Mapa final'!#REF!),"")</f>
        <v>#REF!</v>
      </c>
      <c r="X40" s="61" t="e">
        <f>IF(AND('Mapa final'!#REF!="Baja",'Mapa final'!#REF!="Moderado"),CONCATENATE("R5C",'Mapa final'!#REF!),"")</f>
        <v>#REF!</v>
      </c>
      <c r="Y40" s="61" t="e">
        <f>IF(AND('Mapa final'!#REF!="Baja",'Mapa final'!#REF!="Moderado"),CONCATENATE("R5C",'Mapa final'!#REF!),"")</f>
        <v>#REF!</v>
      </c>
      <c r="Z40" s="61" t="e">
        <f>IF(AND('Mapa final'!#REF!="Baja",'Mapa final'!#REF!="Moderado"),CONCATENATE("R5C",'Mapa final'!#REF!),"")</f>
        <v>#REF!</v>
      </c>
      <c r="AA40" s="62" t="e">
        <f>IF(AND('Mapa final'!#REF!="Baja",'Mapa final'!#REF!="Moderado"),CONCATENATE("R5C",'Mapa final'!#REF!),"")</f>
        <v>#REF!</v>
      </c>
      <c r="AB40" s="45" t="str">
        <f>IF(AND('Mapa final'!$AA$30="Baja",'Mapa final'!$AC$30="Mayor"),CONCATENATE("R5C",'Mapa final'!$Q$30),"")</f>
        <v/>
      </c>
      <c r="AC40" s="46" t="e">
        <f>IF(AND('Mapa final'!#REF!="Baja",'Mapa final'!#REF!="Mayor"),CONCATENATE("R5C",'Mapa final'!#REF!),"")</f>
        <v>#REF!</v>
      </c>
      <c r="AD40" s="46" t="e">
        <f>IF(AND('Mapa final'!#REF!="Baja",'Mapa final'!#REF!="Mayor"),CONCATENATE("R5C",'Mapa final'!#REF!),"")</f>
        <v>#REF!</v>
      </c>
      <c r="AE40" s="46" t="e">
        <f>IF(AND('Mapa final'!#REF!="Baja",'Mapa final'!#REF!="Mayor"),CONCATENATE("R5C",'Mapa final'!#REF!),"")</f>
        <v>#REF!</v>
      </c>
      <c r="AF40" s="46" t="e">
        <f>IF(AND('Mapa final'!#REF!="Baja",'Mapa final'!#REF!="Mayor"),CONCATENATE("R5C",'Mapa final'!#REF!),"")</f>
        <v>#REF!</v>
      </c>
      <c r="AG40" s="47" t="e">
        <f>IF(AND('Mapa final'!#REF!="Baja",'Mapa final'!#REF!="Mayor"),CONCATENATE("R5C",'Mapa final'!#REF!),"")</f>
        <v>#REF!</v>
      </c>
      <c r="AH40" s="48" t="str">
        <f>IF(AND('Mapa final'!$AA$30="Baja",'Mapa final'!$AC$30="Catastrófico"),CONCATENATE("R5C",'Mapa final'!$Q$30),"")</f>
        <v>R5C1</v>
      </c>
      <c r="AI40" s="49" t="e">
        <f>IF(AND('Mapa final'!#REF!="Baja",'Mapa final'!#REF!="Catastrófico"),CONCATENATE("R5C",'Mapa final'!#REF!),"")</f>
        <v>#REF!</v>
      </c>
      <c r="AJ40" s="49" t="e">
        <f>IF(AND('Mapa final'!#REF!="Baja",'Mapa final'!#REF!="Catastrófico"),CONCATENATE("R5C",'Mapa final'!#REF!),"")</f>
        <v>#REF!</v>
      </c>
      <c r="AK40" s="49" t="e">
        <f>IF(AND('Mapa final'!#REF!="Baja",'Mapa final'!#REF!="Catastrófico"),CONCATENATE("R5C",'Mapa final'!#REF!),"")</f>
        <v>#REF!</v>
      </c>
      <c r="AL40" s="49" t="e">
        <f>IF(AND('Mapa final'!#REF!="Baja",'Mapa final'!#REF!="Catastrófico"),CONCATENATE("R5C",'Mapa final'!#REF!),"")</f>
        <v>#REF!</v>
      </c>
      <c r="AM40" s="50" t="e">
        <f>IF(AND('Mapa final'!#REF!="Baja",'Mapa final'!#REF!="Catastrófico"),CONCATENATE("R5C",'Mapa final'!#REF!),"")</f>
        <v>#REF!</v>
      </c>
      <c r="AN40" s="76"/>
      <c r="AO40" s="517"/>
      <c r="AP40" s="518"/>
      <c r="AQ40" s="518"/>
      <c r="AR40" s="518"/>
      <c r="AS40" s="518"/>
      <c r="AT40" s="519"/>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row>
    <row r="41" spans="1:80" ht="15" customHeight="1" x14ac:dyDescent="0.25">
      <c r="A41" s="76"/>
      <c r="B41" s="445"/>
      <c r="C41" s="445"/>
      <c r="D41" s="446"/>
      <c r="E41" s="486"/>
      <c r="F41" s="487"/>
      <c r="G41" s="487"/>
      <c r="H41" s="487"/>
      <c r="I41" s="487"/>
      <c r="J41" s="69" t="e">
        <f>IF(AND('Mapa final'!#REF!="Baja",'Mapa final'!#REF!="Leve"),CONCATENATE("R6C",'Mapa final'!#REF!),"")</f>
        <v>#REF!</v>
      </c>
      <c r="K41" s="70" t="e">
        <f>IF(AND('Mapa final'!#REF!="Baja",'Mapa final'!#REF!="Leve"),CONCATENATE("R6C",'Mapa final'!#REF!),"")</f>
        <v>#REF!</v>
      </c>
      <c r="L41" s="70" t="e">
        <f>IF(AND('Mapa final'!#REF!="Baja",'Mapa final'!#REF!="Leve"),CONCATENATE("R6C",'Mapa final'!#REF!),"")</f>
        <v>#REF!</v>
      </c>
      <c r="M41" s="70" t="e">
        <f>IF(AND('Mapa final'!#REF!="Baja",'Mapa final'!#REF!="Leve"),CONCATENATE("R6C",'Mapa final'!#REF!),"")</f>
        <v>#REF!</v>
      </c>
      <c r="N41" s="70" t="e">
        <f>IF(AND('Mapa final'!#REF!="Baja",'Mapa final'!#REF!="Leve"),CONCATENATE("R6C",'Mapa final'!#REF!),"")</f>
        <v>#REF!</v>
      </c>
      <c r="O41" s="71" t="e">
        <f>IF(AND('Mapa final'!#REF!="Baja",'Mapa final'!#REF!="Leve"),CONCATENATE("R6C",'Mapa final'!#REF!),"")</f>
        <v>#REF!</v>
      </c>
      <c r="P41" s="60" t="e">
        <f>IF(AND('Mapa final'!#REF!="Baja",'Mapa final'!#REF!="Menor"),CONCATENATE("R6C",'Mapa final'!#REF!),"")</f>
        <v>#REF!</v>
      </c>
      <c r="Q41" s="61" t="e">
        <f>IF(AND('Mapa final'!#REF!="Baja",'Mapa final'!#REF!="Menor"),CONCATENATE("R6C",'Mapa final'!#REF!),"")</f>
        <v>#REF!</v>
      </c>
      <c r="R41" s="61" t="e">
        <f>IF(AND('Mapa final'!#REF!="Baja",'Mapa final'!#REF!="Menor"),CONCATENATE("R6C",'Mapa final'!#REF!),"")</f>
        <v>#REF!</v>
      </c>
      <c r="S41" s="61" t="e">
        <f>IF(AND('Mapa final'!#REF!="Baja",'Mapa final'!#REF!="Menor"),CONCATENATE("R6C",'Mapa final'!#REF!),"")</f>
        <v>#REF!</v>
      </c>
      <c r="T41" s="61" t="e">
        <f>IF(AND('Mapa final'!#REF!="Baja",'Mapa final'!#REF!="Menor"),CONCATENATE("R6C",'Mapa final'!#REF!),"")</f>
        <v>#REF!</v>
      </c>
      <c r="U41" s="62" t="e">
        <f>IF(AND('Mapa final'!#REF!="Baja",'Mapa final'!#REF!="Menor"),CONCATENATE("R6C",'Mapa final'!#REF!),"")</f>
        <v>#REF!</v>
      </c>
      <c r="V41" s="60" t="e">
        <f>IF(AND('Mapa final'!#REF!="Baja",'Mapa final'!#REF!="Moderado"),CONCATENATE("R6C",'Mapa final'!#REF!),"")</f>
        <v>#REF!</v>
      </c>
      <c r="W41" s="61" t="e">
        <f>IF(AND('Mapa final'!#REF!="Baja",'Mapa final'!#REF!="Moderado"),CONCATENATE("R6C",'Mapa final'!#REF!),"")</f>
        <v>#REF!</v>
      </c>
      <c r="X41" s="61" t="e">
        <f>IF(AND('Mapa final'!#REF!="Baja",'Mapa final'!#REF!="Moderado"),CONCATENATE("R6C",'Mapa final'!#REF!),"")</f>
        <v>#REF!</v>
      </c>
      <c r="Y41" s="61" t="e">
        <f>IF(AND('Mapa final'!#REF!="Baja",'Mapa final'!#REF!="Moderado"),CONCATENATE("R6C",'Mapa final'!#REF!),"")</f>
        <v>#REF!</v>
      </c>
      <c r="Z41" s="61" t="e">
        <f>IF(AND('Mapa final'!#REF!="Baja",'Mapa final'!#REF!="Moderado"),CONCATENATE("R6C",'Mapa final'!#REF!),"")</f>
        <v>#REF!</v>
      </c>
      <c r="AA41" s="62" t="e">
        <f>IF(AND('Mapa final'!#REF!="Baja",'Mapa final'!#REF!="Moderado"),CONCATENATE("R6C",'Mapa final'!#REF!),"")</f>
        <v>#REF!</v>
      </c>
      <c r="AB41" s="45" t="e">
        <f>IF(AND('Mapa final'!#REF!="Baja",'Mapa final'!#REF!="Mayor"),CONCATENATE("R6C",'Mapa final'!#REF!),"")</f>
        <v>#REF!</v>
      </c>
      <c r="AC41" s="46" t="e">
        <f>IF(AND('Mapa final'!#REF!="Baja",'Mapa final'!#REF!="Mayor"),CONCATENATE("R6C",'Mapa final'!#REF!),"")</f>
        <v>#REF!</v>
      </c>
      <c r="AD41" s="46" t="e">
        <f>IF(AND('Mapa final'!#REF!="Baja",'Mapa final'!#REF!="Mayor"),CONCATENATE("R6C",'Mapa final'!#REF!),"")</f>
        <v>#REF!</v>
      </c>
      <c r="AE41" s="46" t="e">
        <f>IF(AND('Mapa final'!#REF!="Baja",'Mapa final'!#REF!="Mayor"),CONCATENATE("R6C",'Mapa final'!#REF!),"")</f>
        <v>#REF!</v>
      </c>
      <c r="AF41" s="46" t="e">
        <f>IF(AND('Mapa final'!#REF!="Baja",'Mapa final'!#REF!="Mayor"),CONCATENATE("R6C",'Mapa final'!#REF!),"")</f>
        <v>#REF!</v>
      </c>
      <c r="AG41" s="47" t="e">
        <f>IF(AND('Mapa final'!#REF!="Baja",'Mapa final'!#REF!="Mayor"),CONCATENATE("R6C",'Mapa final'!#REF!),"")</f>
        <v>#REF!</v>
      </c>
      <c r="AH41" s="48" t="e">
        <f>IF(AND('Mapa final'!#REF!="Baja",'Mapa final'!#REF!="Catastrófico"),CONCATENATE("R6C",'Mapa final'!#REF!),"")</f>
        <v>#REF!</v>
      </c>
      <c r="AI41" s="49" t="e">
        <f>IF(AND('Mapa final'!#REF!="Baja",'Mapa final'!#REF!="Catastrófico"),CONCATENATE("R6C",'Mapa final'!#REF!),"")</f>
        <v>#REF!</v>
      </c>
      <c r="AJ41" s="49" t="e">
        <f>IF(AND('Mapa final'!#REF!="Baja",'Mapa final'!#REF!="Catastrófico"),CONCATENATE("R6C",'Mapa final'!#REF!),"")</f>
        <v>#REF!</v>
      </c>
      <c r="AK41" s="49" t="e">
        <f>IF(AND('Mapa final'!#REF!="Baja",'Mapa final'!#REF!="Catastrófico"),CONCATENATE("R6C",'Mapa final'!#REF!),"")</f>
        <v>#REF!</v>
      </c>
      <c r="AL41" s="49" t="e">
        <f>IF(AND('Mapa final'!#REF!="Baja",'Mapa final'!#REF!="Catastrófico"),CONCATENATE("R6C",'Mapa final'!#REF!),"")</f>
        <v>#REF!</v>
      </c>
      <c r="AM41" s="50" t="e">
        <f>IF(AND('Mapa final'!#REF!="Baja",'Mapa final'!#REF!="Catastrófico"),CONCATENATE("R6C",'Mapa final'!#REF!),"")</f>
        <v>#REF!</v>
      </c>
      <c r="AN41" s="76"/>
      <c r="AO41" s="517"/>
      <c r="AP41" s="518"/>
      <c r="AQ41" s="518"/>
      <c r="AR41" s="518"/>
      <c r="AS41" s="518"/>
      <c r="AT41" s="519"/>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row>
    <row r="42" spans="1:80" ht="15" customHeight="1" x14ac:dyDescent="0.25">
      <c r="A42" s="76"/>
      <c r="B42" s="445"/>
      <c r="C42" s="445"/>
      <c r="D42" s="446"/>
      <c r="E42" s="486"/>
      <c r="F42" s="487"/>
      <c r="G42" s="487"/>
      <c r="H42" s="487"/>
      <c r="I42" s="487"/>
      <c r="J42" s="69" t="e">
        <f>IF(AND('Mapa final'!#REF!="Baja",'Mapa final'!#REF!="Leve"),CONCATENATE("R7C",'Mapa final'!#REF!),"")</f>
        <v>#REF!</v>
      </c>
      <c r="K42" s="70" t="e">
        <f>IF(AND('Mapa final'!#REF!="Baja",'Mapa final'!#REF!="Leve"),CONCATENATE("R7C",'Mapa final'!#REF!),"")</f>
        <v>#REF!</v>
      </c>
      <c r="L42" s="70" t="e">
        <f>IF(AND('Mapa final'!#REF!="Baja",'Mapa final'!#REF!="Leve"),CONCATENATE("R7C",'Mapa final'!#REF!),"")</f>
        <v>#REF!</v>
      </c>
      <c r="M42" s="70" t="e">
        <f>IF(AND('Mapa final'!#REF!="Baja",'Mapa final'!#REF!="Leve"),CONCATENATE("R7C",'Mapa final'!#REF!),"")</f>
        <v>#REF!</v>
      </c>
      <c r="N42" s="70" t="e">
        <f>IF(AND('Mapa final'!#REF!="Baja",'Mapa final'!#REF!="Leve"),CONCATENATE("R7C",'Mapa final'!#REF!),"")</f>
        <v>#REF!</v>
      </c>
      <c r="O42" s="71" t="e">
        <f>IF(AND('Mapa final'!#REF!="Baja",'Mapa final'!#REF!="Leve"),CONCATENATE("R7C",'Mapa final'!#REF!),"")</f>
        <v>#REF!</v>
      </c>
      <c r="P42" s="60" t="e">
        <f>IF(AND('Mapa final'!#REF!="Baja",'Mapa final'!#REF!="Menor"),CONCATENATE("R7C",'Mapa final'!#REF!),"")</f>
        <v>#REF!</v>
      </c>
      <c r="Q42" s="61" t="e">
        <f>IF(AND('Mapa final'!#REF!="Baja",'Mapa final'!#REF!="Menor"),CONCATENATE("R7C",'Mapa final'!#REF!),"")</f>
        <v>#REF!</v>
      </c>
      <c r="R42" s="61" t="e">
        <f>IF(AND('Mapa final'!#REF!="Baja",'Mapa final'!#REF!="Menor"),CONCATENATE("R7C",'Mapa final'!#REF!),"")</f>
        <v>#REF!</v>
      </c>
      <c r="S42" s="61" t="e">
        <f>IF(AND('Mapa final'!#REF!="Baja",'Mapa final'!#REF!="Menor"),CONCATENATE("R7C",'Mapa final'!#REF!),"")</f>
        <v>#REF!</v>
      </c>
      <c r="T42" s="61" t="e">
        <f>IF(AND('Mapa final'!#REF!="Baja",'Mapa final'!#REF!="Menor"),CONCATENATE("R7C",'Mapa final'!#REF!),"")</f>
        <v>#REF!</v>
      </c>
      <c r="U42" s="62" t="e">
        <f>IF(AND('Mapa final'!#REF!="Baja",'Mapa final'!#REF!="Menor"),CONCATENATE("R7C",'Mapa final'!#REF!),"")</f>
        <v>#REF!</v>
      </c>
      <c r="V42" s="60" t="e">
        <f>IF(AND('Mapa final'!#REF!="Baja",'Mapa final'!#REF!="Moderado"),CONCATENATE("R7C",'Mapa final'!#REF!),"")</f>
        <v>#REF!</v>
      </c>
      <c r="W42" s="61" t="e">
        <f>IF(AND('Mapa final'!#REF!="Baja",'Mapa final'!#REF!="Moderado"),CONCATENATE("R7C",'Mapa final'!#REF!),"")</f>
        <v>#REF!</v>
      </c>
      <c r="X42" s="61" t="e">
        <f>IF(AND('Mapa final'!#REF!="Baja",'Mapa final'!#REF!="Moderado"),CONCATENATE("R7C",'Mapa final'!#REF!),"")</f>
        <v>#REF!</v>
      </c>
      <c r="Y42" s="61" t="e">
        <f>IF(AND('Mapa final'!#REF!="Baja",'Mapa final'!#REF!="Moderado"),CONCATENATE("R7C",'Mapa final'!#REF!),"")</f>
        <v>#REF!</v>
      </c>
      <c r="Z42" s="61" t="e">
        <f>IF(AND('Mapa final'!#REF!="Baja",'Mapa final'!#REF!="Moderado"),CONCATENATE("R7C",'Mapa final'!#REF!),"")</f>
        <v>#REF!</v>
      </c>
      <c r="AA42" s="62" t="e">
        <f>IF(AND('Mapa final'!#REF!="Baja",'Mapa final'!#REF!="Moderado"),CONCATENATE("R7C",'Mapa final'!#REF!),"")</f>
        <v>#REF!</v>
      </c>
      <c r="AB42" s="45" t="e">
        <f>IF(AND('Mapa final'!#REF!="Baja",'Mapa final'!#REF!="Mayor"),CONCATENATE("R7C",'Mapa final'!#REF!),"")</f>
        <v>#REF!</v>
      </c>
      <c r="AC42" s="46" t="e">
        <f>IF(AND('Mapa final'!#REF!="Baja",'Mapa final'!#REF!="Mayor"),CONCATENATE("R7C",'Mapa final'!#REF!),"")</f>
        <v>#REF!</v>
      </c>
      <c r="AD42" s="46" t="e">
        <f>IF(AND('Mapa final'!#REF!="Baja",'Mapa final'!#REF!="Mayor"),CONCATENATE("R7C",'Mapa final'!#REF!),"")</f>
        <v>#REF!</v>
      </c>
      <c r="AE42" s="46" t="e">
        <f>IF(AND('Mapa final'!#REF!="Baja",'Mapa final'!#REF!="Mayor"),CONCATENATE("R7C",'Mapa final'!#REF!),"")</f>
        <v>#REF!</v>
      </c>
      <c r="AF42" s="46" t="e">
        <f>IF(AND('Mapa final'!#REF!="Baja",'Mapa final'!#REF!="Mayor"),CONCATENATE("R7C",'Mapa final'!#REF!),"")</f>
        <v>#REF!</v>
      </c>
      <c r="AG42" s="47" t="e">
        <f>IF(AND('Mapa final'!#REF!="Baja",'Mapa final'!#REF!="Mayor"),CONCATENATE("R7C",'Mapa final'!#REF!),"")</f>
        <v>#REF!</v>
      </c>
      <c r="AH42" s="48" t="e">
        <f>IF(AND('Mapa final'!#REF!="Baja",'Mapa final'!#REF!="Catastrófico"),CONCATENATE("R7C",'Mapa final'!#REF!),"")</f>
        <v>#REF!</v>
      </c>
      <c r="AI42" s="49" t="e">
        <f>IF(AND('Mapa final'!#REF!="Baja",'Mapa final'!#REF!="Catastrófico"),CONCATENATE("R7C",'Mapa final'!#REF!),"")</f>
        <v>#REF!</v>
      </c>
      <c r="AJ42" s="49" t="e">
        <f>IF(AND('Mapa final'!#REF!="Baja",'Mapa final'!#REF!="Catastrófico"),CONCATENATE("R7C",'Mapa final'!#REF!),"")</f>
        <v>#REF!</v>
      </c>
      <c r="AK42" s="49" t="e">
        <f>IF(AND('Mapa final'!#REF!="Baja",'Mapa final'!#REF!="Catastrófico"),CONCATENATE("R7C",'Mapa final'!#REF!),"")</f>
        <v>#REF!</v>
      </c>
      <c r="AL42" s="49" t="e">
        <f>IF(AND('Mapa final'!#REF!="Baja",'Mapa final'!#REF!="Catastrófico"),CONCATENATE("R7C",'Mapa final'!#REF!),"")</f>
        <v>#REF!</v>
      </c>
      <c r="AM42" s="50" t="e">
        <f>IF(AND('Mapa final'!#REF!="Baja",'Mapa final'!#REF!="Catastrófico"),CONCATENATE("R7C",'Mapa final'!#REF!),"")</f>
        <v>#REF!</v>
      </c>
      <c r="AN42" s="76"/>
      <c r="AO42" s="517"/>
      <c r="AP42" s="518"/>
      <c r="AQ42" s="518"/>
      <c r="AR42" s="518"/>
      <c r="AS42" s="518"/>
      <c r="AT42" s="519"/>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row>
    <row r="43" spans="1:80" ht="15" customHeight="1" x14ac:dyDescent="0.25">
      <c r="A43" s="76"/>
      <c r="B43" s="445"/>
      <c r="C43" s="445"/>
      <c r="D43" s="446"/>
      <c r="E43" s="486"/>
      <c r="F43" s="487"/>
      <c r="G43" s="487"/>
      <c r="H43" s="487"/>
      <c r="I43" s="487"/>
      <c r="J43" s="69" t="e">
        <f>IF(AND('Mapa final'!#REF!="Baja",'Mapa final'!#REF!="Leve"),CONCATENATE("R8C",'Mapa final'!#REF!),"")</f>
        <v>#REF!</v>
      </c>
      <c r="K43" s="70" t="e">
        <f>IF(AND('Mapa final'!#REF!="Baja",'Mapa final'!#REF!="Leve"),CONCATENATE("R8C",'Mapa final'!#REF!),"")</f>
        <v>#REF!</v>
      </c>
      <c r="L43" s="70" t="e">
        <f>IF(AND('Mapa final'!#REF!="Baja",'Mapa final'!#REF!="Leve"),CONCATENATE("R8C",'Mapa final'!#REF!),"")</f>
        <v>#REF!</v>
      </c>
      <c r="M43" s="70" t="e">
        <f>IF(AND('Mapa final'!#REF!="Baja",'Mapa final'!#REF!="Leve"),CONCATENATE("R8C",'Mapa final'!#REF!),"")</f>
        <v>#REF!</v>
      </c>
      <c r="N43" s="70" t="e">
        <f>IF(AND('Mapa final'!#REF!="Baja",'Mapa final'!#REF!="Leve"),CONCATENATE("R8C",'Mapa final'!#REF!),"")</f>
        <v>#REF!</v>
      </c>
      <c r="O43" s="71" t="e">
        <f>IF(AND('Mapa final'!#REF!="Baja",'Mapa final'!#REF!="Leve"),CONCATENATE("R8C",'Mapa final'!#REF!),"")</f>
        <v>#REF!</v>
      </c>
      <c r="P43" s="60" t="e">
        <f>IF(AND('Mapa final'!#REF!="Baja",'Mapa final'!#REF!="Menor"),CONCATENATE("R8C",'Mapa final'!#REF!),"")</f>
        <v>#REF!</v>
      </c>
      <c r="Q43" s="61" t="e">
        <f>IF(AND('Mapa final'!#REF!="Baja",'Mapa final'!#REF!="Menor"),CONCATENATE("R8C",'Mapa final'!#REF!),"")</f>
        <v>#REF!</v>
      </c>
      <c r="R43" s="61" t="e">
        <f>IF(AND('Mapa final'!#REF!="Baja",'Mapa final'!#REF!="Menor"),CONCATENATE("R8C",'Mapa final'!#REF!),"")</f>
        <v>#REF!</v>
      </c>
      <c r="S43" s="61" t="e">
        <f>IF(AND('Mapa final'!#REF!="Baja",'Mapa final'!#REF!="Menor"),CONCATENATE("R8C",'Mapa final'!#REF!),"")</f>
        <v>#REF!</v>
      </c>
      <c r="T43" s="61" t="e">
        <f>IF(AND('Mapa final'!#REF!="Baja",'Mapa final'!#REF!="Menor"),CONCATENATE("R8C",'Mapa final'!#REF!),"")</f>
        <v>#REF!</v>
      </c>
      <c r="U43" s="62" t="e">
        <f>IF(AND('Mapa final'!#REF!="Baja",'Mapa final'!#REF!="Menor"),CONCATENATE("R8C",'Mapa final'!#REF!),"")</f>
        <v>#REF!</v>
      </c>
      <c r="V43" s="60" t="e">
        <f>IF(AND('Mapa final'!#REF!="Baja",'Mapa final'!#REF!="Moderado"),CONCATENATE("R8C",'Mapa final'!#REF!),"")</f>
        <v>#REF!</v>
      </c>
      <c r="W43" s="61" t="e">
        <f>IF(AND('Mapa final'!#REF!="Baja",'Mapa final'!#REF!="Moderado"),CONCATENATE("R8C",'Mapa final'!#REF!),"")</f>
        <v>#REF!</v>
      </c>
      <c r="X43" s="61" t="e">
        <f>IF(AND('Mapa final'!#REF!="Baja",'Mapa final'!#REF!="Moderado"),CONCATENATE("R8C",'Mapa final'!#REF!),"")</f>
        <v>#REF!</v>
      </c>
      <c r="Y43" s="61" t="e">
        <f>IF(AND('Mapa final'!#REF!="Baja",'Mapa final'!#REF!="Moderado"),CONCATENATE("R8C",'Mapa final'!#REF!),"")</f>
        <v>#REF!</v>
      </c>
      <c r="Z43" s="61" t="e">
        <f>IF(AND('Mapa final'!#REF!="Baja",'Mapa final'!#REF!="Moderado"),CONCATENATE("R8C",'Mapa final'!#REF!),"")</f>
        <v>#REF!</v>
      </c>
      <c r="AA43" s="62" t="e">
        <f>IF(AND('Mapa final'!#REF!="Baja",'Mapa final'!#REF!="Moderado"),CONCATENATE("R8C",'Mapa final'!#REF!),"")</f>
        <v>#REF!</v>
      </c>
      <c r="AB43" s="45" t="e">
        <f>IF(AND('Mapa final'!#REF!="Baja",'Mapa final'!#REF!="Mayor"),CONCATENATE("R8C",'Mapa final'!#REF!),"")</f>
        <v>#REF!</v>
      </c>
      <c r="AC43" s="46" t="e">
        <f>IF(AND('Mapa final'!#REF!="Baja",'Mapa final'!#REF!="Mayor"),CONCATENATE("R8C",'Mapa final'!#REF!),"")</f>
        <v>#REF!</v>
      </c>
      <c r="AD43" s="46" t="e">
        <f>IF(AND('Mapa final'!#REF!="Baja",'Mapa final'!#REF!="Mayor"),CONCATENATE("R8C",'Mapa final'!#REF!),"")</f>
        <v>#REF!</v>
      </c>
      <c r="AE43" s="46" t="e">
        <f>IF(AND('Mapa final'!#REF!="Baja",'Mapa final'!#REF!="Mayor"),CONCATENATE("R8C",'Mapa final'!#REF!),"")</f>
        <v>#REF!</v>
      </c>
      <c r="AF43" s="46" t="e">
        <f>IF(AND('Mapa final'!#REF!="Baja",'Mapa final'!#REF!="Mayor"),CONCATENATE("R8C",'Mapa final'!#REF!),"")</f>
        <v>#REF!</v>
      </c>
      <c r="AG43" s="47" t="e">
        <f>IF(AND('Mapa final'!#REF!="Baja",'Mapa final'!#REF!="Mayor"),CONCATENATE("R8C",'Mapa final'!#REF!),"")</f>
        <v>#REF!</v>
      </c>
      <c r="AH43" s="48" t="e">
        <f>IF(AND('Mapa final'!#REF!="Baja",'Mapa final'!#REF!="Catastrófico"),CONCATENATE("R8C",'Mapa final'!#REF!),"")</f>
        <v>#REF!</v>
      </c>
      <c r="AI43" s="49" t="e">
        <f>IF(AND('Mapa final'!#REF!="Baja",'Mapa final'!#REF!="Catastrófico"),CONCATENATE("R8C",'Mapa final'!#REF!),"")</f>
        <v>#REF!</v>
      </c>
      <c r="AJ43" s="49" t="e">
        <f>IF(AND('Mapa final'!#REF!="Baja",'Mapa final'!#REF!="Catastrófico"),CONCATENATE("R8C",'Mapa final'!#REF!),"")</f>
        <v>#REF!</v>
      </c>
      <c r="AK43" s="49" t="e">
        <f>IF(AND('Mapa final'!#REF!="Baja",'Mapa final'!#REF!="Catastrófico"),CONCATENATE("R8C",'Mapa final'!#REF!),"")</f>
        <v>#REF!</v>
      </c>
      <c r="AL43" s="49" t="e">
        <f>IF(AND('Mapa final'!#REF!="Baja",'Mapa final'!#REF!="Catastrófico"),CONCATENATE("R8C",'Mapa final'!#REF!),"")</f>
        <v>#REF!</v>
      </c>
      <c r="AM43" s="50" t="e">
        <f>IF(AND('Mapa final'!#REF!="Baja",'Mapa final'!#REF!="Catastrófico"),CONCATENATE("R8C",'Mapa final'!#REF!),"")</f>
        <v>#REF!</v>
      </c>
      <c r="AN43" s="76"/>
      <c r="AO43" s="517"/>
      <c r="AP43" s="518"/>
      <c r="AQ43" s="518"/>
      <c r="AR43" s="518"/>
      <c r="AS43" s="518"/>
      <c r="AT43" s="519"/>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row>
    <row r="44" spans="1:80" ht="15" customHeight="1" x14ac:dyDescent="0.25">
      <c r="A44" s="76"/>
      <c r="B44" s="445"/>
      <c r="C44" s="445"/>
      <c r="D44" s="446"/>
      <c r="E44" s="486"/>
      <c r="F44" s="487"/>
      <c r="G44" s="487"/>
      <c r="H44" s="487"/>
      <c r="I44" s="487"/>
      <c r="J44" s="69" t="e">
        <f>IF(AND('Mapa final'!#REF!="Baja",'Mapa final'!#REF!="Leve"),CONCATENATE("R9C",'Mapa final'!#REF!),"")</f>
        <v>#REF!</v>
      </c>
      <c r="K44" s="70" t="e">
        <f>IF(AND('Mapa final'!#REF!="Baja",'Mapa final'!#REF!="Leve"),CONCATENATE("R9C",'Mapa final'!#REF!),"")</f>
        <v>#REF!</v>
      </c>
      <c r="L44" s="70" t="e">
        <f>IF(AND('Mapa final'!#REF!="Baja",'Mapa final'!#REF!="Leve"),CONCATENATE("R9C",'Mapa final'!#REF!),"")</f>
        <v>#REF!</v>
      </c>
      <c r="M44" s="70" t="e">
        <f>IF(AND('Mapa final'!#REF!="Baja",'Mapa final'!#REF!="Leve"),CONCATENATE("R9C",'Mapa final'!#REF!),"")</f>
        <v>#REF!</v>
      </c>
      <c r="N44" s="70" t="e">
        <f>IF(AND('Mapa final'!#REF!="Baja",'Mapa final'!#REF!="Leve"),CONCATENATE("R9C",'Mapa final'!#REF!),"")</f>
        <v>#REF!</v>
      </c>
      <c r="O44" s="71" t="e">
        <f>IF(AND('Mapa final'!#REF!="Baja",'Mapa final'!#REF!="Leve"),CONCATENATE("R9C",'Mapa final'!#REF!),"")</f>
        <v>#REF!</v>
      </c>
      <c r="P44" s="60" t="e">
        <f>IF(AND('Mapa final'!#REF!="Baja",'Mapa final'!#REF!="Menor"),CONCATENATE("R9C",'Mapa final'!#REF!),"")</f>
        <v>#REF!</v>
      </c>
      <c r="Q44" s="61" t="e">
        <f>IF(AND('Mapa final'!#REF!="Baja",'Mapa final'!#REF!="Menor"),CONCATENATE("R9C",'Mapa final'!#REF!),"")</f>
        <v>#REF!</v>
      </c>
      <c r="R44" s="61" t="e">
        <f>IF(AND('Mapa final'!#REF!="Baja",'Mapa final'!#REF!="Menor"),CONCATENATE("R9C",'Mapa final'!#REF!),"")</f>
        <v>#REF!</v>
      </c>
      <c r="S44" s="61" t="e">
        <f>IF(AND('Mapa final'!#REF!="Baja",'Mapa final'!#REF!="Menor"),CONCATENATE("R9C",'Mapa final'!#REF!),"")</f>
        <v>#REF!</v>
      </c>
      <c r="T44" s="61" t="e">
        <f>IF(AND('Mapa final'!#REF!="Baja",'Mapa final'!#REF!="Menor"),CONCATENATE("R9C",'Mapa final'!#REF!),"")</f>
        <v>#REF!</v>
      </c>
      <c r="U44" s="62" t="e">
        <f>IF(AND('Mapa final'!#REF!="Baja",'Mapa final'!#REF!="Menor"),CONCATENATE("R9C",'Mapa final'!#REF!),"")</f>
        <v>#REF!</v>
      </c>
      <c r="V44" s="60" t="e">
        <f>IF(AND('Mapa final'!#REF!="Baja",'Mapa final'!#REF!="Moderado"),CONCATENATE("R9C",'Mapa final'!#REF!),"")</f>
        <v>#REF!</v>
      </c>
      <c r="W44" s="61" t="e">
        <f>IF(AND('Mapa final'!#REF!="Baja",'Mapa final'!#REF!="Moderado"),CONCATENATE("R9C",'Mapa final'!#REF!),"")</f>
        <v>#REF!</v>
      </c>
      <c r="X44" s="61" t="e">
        <f>IF(AND('Mapa final'!#REF!="Baja",'Mapa final'!#REF!="Moderado"),CONCATENATE("R9C",'Mapa final'!#REF!),"")</f>
        <v>#REF!</v>
      </c>
      <c r="Y44" s="61" t="e">
        <f>IF(AND('Mapa final'!#REF!="Baja",'Mapa final'!#REF!="Moderado"),CONCATENATE("R9C",'Mapa final'!#REF!),"")</f>
        <v>#REF!</v>
      </c>
      <c r="Z44" s="61" t="e">
        <f>IF(AND('Mapa final'!#REF!="Baja",'Mapa final'!#REF!="Moderado"),CONCATENATE("R9C",'Mapa final'!#REF!),"")</f>
        <v>#REF!</v>
      </c>
      <c r="AA44" s="62" t="e">
        <f>IF(AND('Mapa final'!#REF!="Baja",'Mapa final'!#REF!="Moderado"),CONCATENATE("R9C",'Mapa final'!#REF!),"")</f>
        <v>#REF!</v>
      </c>
      <c r="AB44" s="45" t="e">
        <f>IF(AND('Mapa final'!#REF!="Baja",'Mapa final'!#REF!="Mayor"),CONCATENATE("R9C",'Mapa final'!#REF!),"")</f>
        <v>#REF!</v>
      </c>
      <c r="AC44" s="46" t="e">
        <f>IF(AND('Mapa final'!#REF!="Baja",'Mapa final'!#REF!="Mayor"),CONCATENATE("R9C",'Mapa final'!#REF!),"")</f>
        <v>#REF!</v>
      </c>
      <c r="AD44" s="46" t="e">
        <f>IF(AND('Mapa final'!#REF!="Baja",'Mapa final'!#REF!="Mayor"),CONCATENATE("R9C",'Mapa final'!#REF!),"")</f>
        <v>#REF!</v>
      </c>
      <c r="AE44" s="46" t="e">
        <f>IF(AND('Mapa final'!#REF!="Baja",'Mapa final'!#REF!="Mayor"),CONCATENATE("R9C",'Mapa final'!#REF!),"")</f>
        <v>#REF!</v>
      </c>
      <c r="AF44" s="46" t="e">
        <f>IF(AND('Mapa final'!#REF!="Baja",'Mapa final'!#REF!="Mayor"),CONCATENATE("R9C",'Mapa final'!#REF!),"")</f>
        <v>#REF!</v>
      </c>
      <c r="AG44" s="47" t="e">
        <f>IF(AND('Mapa final'!#REF!="Baja",'Mapa final'!#REF!="Mayor"),CONCATENATE("R9C",'Mapa final'!#REF!),"")</f>
        <v>#REF!</v>
      </c>
      <c r="AH44" s="48" t="e">
        <f>IF(AND('Mapa final'!#REF!="Baja",'Mapa final'!#REF!="Catastrófico"),CONCATENATE("R9C",'Mapa final'!#REF!),"")</f>
        <v>#REF!</v>
      </c>
      <c r="AI44" s="49" t="e">
        <f>IF(AND('Mapa final'!#REF!="Baja",'Mapa final'!#REF!="Catastrófico"),CONCATENATE("R9C",'Mapa final'!#REF!),"")</f>
        <v>#REF!</v>
      </c>
      <c r="AJ44" s="49" t="e">
        <f>IF(AND('Mapa final'!#REF!="Baja",'Mapa final'!#REF!="Catastrófico"),CONCATENATE("R9C",'Mapa final'!#REF!),"")</f>
        <v>#REF!</v>
      </c>
      <c r="AK44" s="49" t="e">
        <f>IF(AND('Mapa final'!#REF!="Baja",'Mapa final'!#REF!="Catastrófico"),CONCATENATE("R9C",'Mapa final'!#REF!),"")</f>
        <v>#REF!</v>
      </c>
      <c r="AL44" s="49" t="e">
        <f>IF(AND('Mapa final'!#REF!="Baja",'Mapa final'!#REF!="Catastrófico"),CONCATENATE("R9C",'Mapa final'!#REF!),"")</f>
        <v>#REF!</v>
      </c>
      <c r="AM44" s="50" t="e">
        <f>IF(AND('Mapa final'!#REF!="Baja",'Mapa final'!#REF!="Catastrófico"),CONCATENATE("R9C",'Mapa final'!#REF!),"")</f>
        <v>#REF!</v>
      </c>
      <c r="AN44" s="76"/>
      <c r="AO44" s="517"/>
      <c r="AP44" s="518"/>
      <c r="AQ44" s="518"/>
      <c r="AR44" s="518"/>
      <c r="AS44" s="518"/>
      <c r="AT44" s="519"/>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row>
    <row r="45" spans="1:80" ht="15.75" customHeight="1" thickBot="1" x14ac:dyDescent="0.3">
      <c r="A45" s="76"/>
      <c r="B45" s="445"/>
      <c r="C45" s="445"/>
      <c r="D45" s="446"/>
      <c r="E45" s="489"/>
      <c r="F45" s="490"/>
      <c r="G45" s="490"/>
      <c r="H45" s="490"/>
      <c r="I45" s="490"/>
      <c r="J45" s="72" t="e">
        <f>IF(AND('Mapa final'!#REF!="Baja",'Mapa final'!#REF!="Leve"),CONCATENATE("R10C",'Mapa final'!#REF!),"")</f>
        <v>#REF!</v>
      </c>
      <c r="K45" s="73" t="e">
        <f>IF(AND('Mapa final'!#REF!="Baja",'Mapa final'!#REF!="Leve"),CONCATENATE("R10C",'Mapa final'!#REF!),"")</f>
        <v>#REF!</v>
      </c>
      <c r="L45" s="73" t="e">
        <f>IF(AND('Mapa final'!#REF!="Baja",'Mapa final'!#REF!="Leve"),CONCATENATE("R10C",'Mapa final'!#REF!),"")</f>
        <v>#REF!</v>
      </c>
      <c r="M45" s="73" t="e">
        <f>IF(AND('Mapa final'!#REF!="Baja",'Mapa final'!#REF!="Leve"),CONCATENATE("R10C",'Mapa final'!#REF!),"")</f>
        <v>#REF!</v>
      </c>
      <c r="N45" s="73" t="e">
        <f>IF(AND('Mapa final'!#REF!="Baja",'Mapa final'!#REF!="Leve"),CONCATENATE("R10C",'Mapa final'!#REF!),"")</f>
        <v>#REF!</v>
      </c>
      <c r="O45" s="74" t="e">
        <f>IF(AND('Mapa final'!#REF!="Baja",'Mapa final'!#REF!="Leve"),CONCATENATE("R10C",'Mapa final'!#REF!),"")</f>
        <v>#REF!</v>
      </c>
      <c r="P45" s="60" t="e">
        <f>IF(AND('Mapa final'!#REF!="Baja",'Mapa final'!#REF!="Menor"),CONCATENATE("R10C",'Mapa final'!#REF!),"")</f>
        <v>#REF!</v>
      </c>
      <c r="Q45" s="61" t="e">
        <f>IF(AND('Mapa final'!#REF!="Baja",'Mapa final'!#REF!="Menor"),CONCATENATE("R10C",'Mapa final'!#REF!),"")</f>
        <v>#REF!</v>
      </c>
      <c r="R45" s="61" t="e">
        <f>IF(AND('Mapa final'!#REF!="Baja",'Mapa final'!#REF!="Menor"),CONCATENATE("R10C",'Mapa final'!#REF!),"")</f>
        <v>#REF!</v>
      </c>
      <c r="S45" s="61" t="e">
        <f>IF(AND('Mapa final'!#REF!="Baja",'Mapa final'!#REF!="Menor"),CONCATENATE("R10C",'Mapa final'!#REF!),"")</f>
        <v>#REF!</v>
      </c>
      <c r="T45" s="61" t="e">
        <f>IF(AND('Mapa final'!#REF!="Baja",'Mapa final'!#REF!="Menor"),CONCATENATE("R10C",'Mapa final'!#REF!),"")</f>
        <v>#REF!</v>
      </c>
      <c r="U45" s="62" t="e">
        <f>IF(AND('Mapa final'!#REF!="Baja",'Mapa final'!#REF!="Menor"),CONCATENATE("R10C",'Mapa final'!#REF!),"")</f>
        <v>#REF!</v>
      </c>
      <c r="V45" s="63" t="e">
        <f>IF(AND('Mapa final'!#REF!="Baja",'Mapa final'!#REF!="Moderado"),CONCATENATE("R10C",'Mapa final'!#REF!),"")</f>
        <v>#REF!</v>
      </c>
      <c r="W45" s="64" t="e">
        <f>IF(AND('Mapa final'!#REF!="Baja",'Mapa final'!#REF!="Moderado"),CONCATENATE("R10C",'Mapa final'!#REF!),"")</f>
        <v>#REF!</v>
      </c>
      <c r="X45" s="64" t="e">
        <f>IF(AND('Mapa final'!#REF!="Baja",'Mapa final'!#REF!="Moderado"),CONCATENATE("R10C",'Mapa final'!#REF!),"")</f>
        <v>#REF!</v>
      </c>
      <c r="Y45" s="64" t="e">
        <f>IF(AND('Mapa final'!#REF!="Baja",'Mapa final'!#REF!="Moderado"),CONCATENATE("R10C",'Mapa final'!#REF!),"")</f>
        <v>#REF!</v>
      </c>
      <c r="Z45" s="64" t="e">
        <f>IF(AND('Mapa final'!#REF!="Baja",'Mapa final'!#REF!="Moderado"),CONCATENATE("R10C",'Mapa final'!#REF!),"")</f>
        <v>#REF!</v>
      </c>
      <c r="AA45" s="65" t="e">
        <f>IF(AND('Mapa final'!#REF!="Baja",'Mapa final'!#REF!="Moderado"),CONCATENATE("R10C",'Mapa final'!#REF!),"")</f>
        <v>#REF!</v>
      </c>
      <c r="AB45" s="51" t="e">
        <f>IF(AND('Mapa final'!#REF!="Baja",'Mapa final'!#REF!="Mayor"),CONCATENATE("R10C",'Mapa final'!#REF!),"")</f>
        <v>#REF!</v>
      </c>
      <c r="AC45" s="52" t="e">
        <f>IF(AND('Mapa final'!#REF!="Baja",'Mapa final'!#REF!="Mayor"),CONCATENATE("R10C",'Mapa final'!#REF!),"")</f>
        <v>#REF!</v>
      </c>
      <c r="AD45" s="52" t="e">
        <f>IF(AND('Mapa final'!#REF!="Baja",'Mapa final'!#REF!="Mayor"),CONCATENATE("R10C",'Mapa final'!#REF!),"")</f>
        <v>#REF!</v>
      </c>
      <c r="AE45" s="52" t="e">
        <f>IF(AND('Mapa final'!#REF!="Baja",'Mapa final'!#REF!="Mayor"),CONCATENATE("R10C",'Mapa final'!#REF!),"")</f>
        <v>#REF!</v>
      </c>
      <c r="AF45" s="52" t="e">
        <f>IF(AND('Mapa final'!#REF!="Baja",'Mapa final'!#REF!="Mayor"),CONCATENATE("R10C",'Mapa final'!#REF!),"")</f>
        <v>#REF!</v>
      </c>
      <c r="AG45" s="53" t="e">
        <f>IF(AND('Mapa final'!#REF!="Baja",'Mapa final'!#REF!="Mayor"),CONCATENATE("R10C",'Mapa final'!#REF!),"")</f>
        <v>#REF!</v>
      </c>
      <c r="AH45" s="54" t="e">
        <f>IF(AND('Mapa final'!#REF!="Baja",'Mapa final'!#REF!="Catastrófico"),CONCATENATE("R10C",'Mapa final'!#REF!),"")</f>
        <v>#REF!</v>
      </c>
      <c r="AI45" s="55" t="e">
        <f>IF(AND('Mapa final'!#REF!="Baja",'Mapa final'!#REF!="Catastrófico"),CONCATENATE("R10C",'Mapa final'!#REF!),"")</f>
        <v>#REF!</v>
      </c>
      <c r="AJ45" s="55" t="e">
        <f>IF(AND('Mapa final'!#REF!="Baja",'Mapa final'!#REF!="Catastrófico"),CONCATENATE("R10C",'Mapa final'!#REF!),"")</f>
        <v>#REF!</v>
      </c>
      <c r="AK45" s="55" t="e">
        <f>IF(AND('Mapa final'!#REF!="Baja",'Mapa final'!#REF!="Catastrófico"),CONCATENATE("R10C",'Mapa final'!#REF!),"")</f>
        <v>#REF!</v>
      </c>
      <c r="AL45" s="55" t="e">
        <f>IF(AND('Mapa final'!#REF!="Baja",'Mapa final'!#REF!="Catastrófico"),CONCATENATE("R10C",'Mapa final'!#REF!),"")</f>
        <v>#REF!</v>
      </c>
      <c r="AM45" s="56" t="e">
        <f>IF(AND('Mapa final'!#REF!="Baja",'Mapa final'!#REF!="Catastrófico"),CONCATENATE("R10C",'Mapa final'!#REF!),"")</f>
        <v>#REF!</v>
      </c>
      <c r="AN45" s="76"/>
      <c r="AO45" s="520"/>
      <c r="AP45" s="521"/>
      <c r="AQ45" s="521"/>
      <c r="AR45" s="521"/>
      <c r="AS45" s="521"/>
      <c r="AT45" s="522"/>
    </row>
    <row r="46" spans="1:80" ht="46.5" customHeight="1" x14ac:dyDescent="0.35">
      <c r="A46" s="76"/>
      <c r="B46" s="445"/>
      <c r="C46" s="445"/>
      <c r="D46" s="446"/>
      <c r="E46" s="483" t="s">
        <v>113</v>
      </c>
      <c r="F46" s="484"/>
      <c r="G46" s="484"/>
      <c r="H46" s="484"/>
      <c r="I46" s="485"/>
      <c r="J46" s="66" t="str">
        <f>IF(AND('Mapa final'!$AA$20="Muy Baja",'Mapa final'!$AC$20="Leve"),CONCATENATE("R1C",'Mapa final'!$Q$20),"")</f>
        <v/>
      </c>
      <c r="K46" s="67" t="str">
        <f>IF(AND('Mapa final'!$AA$21="Muy Baja",'Mapa final'!$AC$21="Leve"),CONCATENATE("R1C",'Mapa final'!$Q$21),"")</f>
        <v/>
      </c>
      <c r="L46" s="67" t="str">
        <f>IF(AND('Mapa final'!$AA$22="Muy Baja",'Mapa final'!$AC$22="Leve"),CONCATENATE("R1C",'Mapa final'!$Q$22),"")</f>
        <v/>
      </c>
      <c r="M46" s="67" t="e">
        <f>IF(AND('Mapa final'!#REF!="Muy Baja",'Mapa final'!#REF!="Leve"),CONCATENATE("R1C",'Mapa final'!#REF!),"")</f>
        <v>#REF!</v>
      </c>
      <c r="N46" s="67" t="e">
        <f>IF(AND('Mapa final'!#REF!="Muy Baja",'Mapa final'!#REF!="Leve"),CONCATENATE("R1C",'Mapa final'!#REF!),"")</f>
        <v>#REF!</v>
      </c>
      <c r="O46" s="68" t="e">
        <f>IF(AND('Mapa final'!#REF!="Muy Baja",'Mapa final'!#REF!="Leve"),CONCATENATE("R1C",'Mapa final'!#REF!),"")</f>
        <v>#REF!</v>
      </c>
      <c r="P46" s="66" t="str">
        <f>IF(AND('Mapa final'!$AA$20="Muy Baja",'Mapa final'!$AC$20="Menor"),CONCATENATE("R1C",'Mapa final'!$Q$20),"")</f>
        <v/>
      </c>
      <c r="Q46" s="67" t="str">
        <f>IF(AND('Mapa final'!$AA$21="Muy Baja",'Mapa final'!$AC$21="Menor"),CONCATENATE("R1C",'Mapa final'!$Q$21),"")</f>
        <v/>
      </c>
      <c r="R46" s="67" t="str">
        <f>IF(AND('Mapa final'!$AA$22="Muy Baja",'Mapa final'!$AC$22="Menor"),CONCATENATE("R1C",'Mapa final'!$Q$22),"")</f>
        <v/>
      </c>
      <c r="S46" s="67" t="e">
        <f>IF(AND('Mapa final'!#REF!="Muy Baja",'Mapa final'!#REF!="Menor"),CONCATENATE("R1C",'Mapa final'!#REF!),"")</f>
        <v>#REF!</v>
      </c>
      <c r="T46" s="67" t="e">
        <f>IF(AND('Mapa final'!#REF!="Muy Baja",'Mapa final'!#REF!="Menor"),CONCATENATE("R1C",'Mapa final'!#REF!),"")</f>
        <v>#REF!</v>
      </c>
      <c r="U46" s="68" t="e">
        <f>IF(AND('Mapa final'!#REF!="Muy Baja",'Mapa final'!#REF!="Menor"),CONCATENATE("R1C",'Mapa final'!#REF!),"")</f>
        <v>#REF!</v>
      </c>
      <c r="V46" s="57" t="str">
        <f>IF(AND('Mapa final'!$AA$20="Muy Baja",'Mapa final'!$AC$20="Moderado"),CONCATENATE("R1C",'Mapa final'!$Q$20),"")</f>
        <v/>
      </c>
      <c r="W46" s="75" t="str">
        <f>IF(AND('Mapa final'!$AA$21="Muy Baja",'Mapa final'!$AC$21="Moderado"),CONCATENATE("R1C",'Mapa final'!$Q$21),"")</f>
        <v/>
      </c>
      <c r="X46" s="58" t="str">
        <f>IF(AND('Mapa final'!$AA$22="Muy Baja",'Mapa final'!$AC$22="Moderado"),CONCATENATE("R1C",'Mapa final'!$Q$22),"")</f>
        <v>R1C3</v>
      </c>
      <c r="Y46" s="58" t="e">
        <f>IF(AND('Mapa final'!#REF!="Muy Baja",'Mapa final'!#REF!="Moderado"),CONCATENATE("R1C",'Mapa final'!#REF!),"")</f>
        <v>#REF!</v>
      </c>
      <c r="Z46" s="58" t="e">
        <f>IF(AND('Mapa final'!#REF!="Muy Baja",'Mapa final'!#REF!="Moderado"),CONCATENATE("R1C",'Mapa final'!#REF!),"")</f>
        <v>#REF!</v>
      </c>
      <c r="AA46" s="59" t="e">
        <f>IF(AND('Mapa final'!#REF!="Muy Baja",'Mapa final'!#REF!="Moderado"),CONCATENATE("R1C",'Mapa final'!#REF!),"")</f>
        <v>#REF!</v>
      </c>
      <c r="AB46" s="39" t="str">
        <f>IF(AND('Mapa final'!$AA$20="Muy Baja",'Mapa final'!$AC$20="Mayor"),CONCATENATE("R1C",'Mapa final'!$Q$20),"")</f>
        <v/>
      </c>
      <c r="AC46" s="40" t="str">
        <f>IF(AND('Mapa final'!$AA$21="Muy Baja",'Mapa final'!$AC$21="Mayor"),CONCATENATE("R1C",'Mapa final'!$Q$21),"")</f>
        <v/>
      </c>
      <c r="AD46" s="40" t="str">
        <f>IF(AND('Mapa final'!$AA$22="Muy Baja",'Mapa final'!$AC$22="Mayor"),CONCATENATE("R1C",'Mapa final'!$Q$22),"")</f>
        <v/>
      </c>
      <c r="AE46" s="40" t="e">
        <f>IF(AND('Mapa final'!#REF!="Muy Baja",'Mapa final'!#REF!="Mayor"),CONCATENATE("R1C",'Mapa final'!#REF!),"")</f>
        <v>#REF!</v>
      </c>
      <c r="AF46" s="40" t="e">
        <f>IF(AND('Mapa final'!#REF!="Muy Baja",'Mapa final'!#REF!="Mayor"),CONCATENATE("R1C",'Mapa final'!#REF!),"")</f>
        <v>#REF!</v>
      </c>
      <c r="AG46" s="41" t="e">
        <f>IF(AND('Mapa final'!#REF!="Muy Baja",'Mapa final'!#REF!="Mayor"),CONCATENATE("R1C",'Mapa final'!#REF!),"")</f>
        <v>#REF!</v>
      </c>
      <c r="AH46" s="42" t="str">
        <f>IF(AND('Mapa final'!$AA$20="Muy Baja",'Mapa final'!$AC$20="Catastrófico"),CONCATENATE("R1C",'Mapa final'!$Q$20),"")</f>
        <v/>
      </c>
      <c r="AI46" s="43" t="str">
        <f>IF(AND('Mapa final'!$AA$21="Muy Baja",'Mapa final'!$AC$21="Catastrófico"),CONCATENATE("R1C",'Mapa final'!$Q$21),"")</f>
        <v/>
      </c>
      <c r="AJ46" s="43" t="str">
        <f>IF(AND('Mapa final'!$AA$22="Muy Baja",'Mapa final'!$AC$22="Catastrófico"),CONCATENATE("R1C",'Mapa final'!$Q$22),"")</f>
        <v/>
      </c>
      <c r="AK46" s="43" t="e">
        <f>IF(AND('Mapa final'!#REF!="Muy Baja",'Mapa final'!#REF!="Catastrófico"),CONCATENATE("R1C",'Mapa final'!#REF!),"")</f>
        <v>#REF!</v>
      </c>
      <c r="AL46" s="43" t="e">
        <f>IF(AND('Mapa final'!#REF!="Muy Baja",'Mapa final'!#REF!="Catastrófico"),CONCATENATE("R1C",'Mapa final'!#REF!),"")</f>
        <v>#REF!</v>
      </c>
      <c r="AM46" s="44" t="e">
        <f>IF(AND('Mapa final'!#REF!="Muy Baja",'Mapa final'!#REF!="Catastrófico"),CONCATENATE("R1C",'Mapa final'!#REF!),"")</f>
        <v>#REF!</v>
      </c>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row>
    <row r="47" spans="1:80" ht="46.5" customHeight="1" x14ac:dyDescent="0.25">
      <c r="A47" s="76"/>
      <c r="B47" s="445"/>
      <c r="C47" s="445"/>
      <c r="D47" s="446"/>
      <c r="E47" s="502"/>
      <c r="F47" s="487"/>
      <c r="G47" s="487"/>
      <c r="H47" s="487"/>
      <c r="I47" s="488"/>
      <c r="J47" s="69" t="str">
        <f>IF(AND('Mapa final'!$AA$23="Muy Baja",'Mapa final'!$AC$23="Leve"),CONCATENATE("R2C",'Mapa final'!$Q$23),"")</f>
        <v/>
      </c>
      <c r="K47" s="70" t="e">
        <f>IF(AND('Mapa final'!#REF!="Muy Baja",'Mapa final'!#REF!="Leve"),CONCATENATE("R2C",'Mapa final'!#REF!),"")</f>
        <v>#REF!</v>
      </c>
      <c r="L47" s="70" t="e">
        <f>IF(AND('Mapa final'!#REF!="Muy Baja",'Mapa final'!#REF!="Leve"),CONCATENATE("R2C",'Mapa final'!#REF!),"")</f>
        <v>#REF!</v>
      </c>
      <c r="M47" s="70" t="e">
        <f>IF(AND('Mapa final'!#REF!="Muy Baja",'Mapa final'!#REF!="Leve"),CONCATENATE("R2C",'Mapa final'!#REF!),"")</f>
        <v>#REF!</v>
      </c>
      <c r="N47" s="70" t="e">
        <f>IF(AND('Mapa final'!#REF!="Muy Baja",'Mapa final'!#REF!="Leve"),CONCATENATE("R2C",'Mapa final'!#REF!),"")</f>
        <v>#REF!</v>
      </c>
      <c r="O47" s="71" t="e">
        <f>IF(AND('Mapa final'!#REF!="Muy Baja",'Mapa final'!#REF!="Leve"),CONCATENATE("R2C",'Mapa final'!#REF!),"")</f>
        <v>#REF!</v>
      </c>
      <c r="P47" s="69" t="str">
        <f>IF(AND('Mapa final'!$AA$23="Muy Baja",'Mapa final'!$AC$23="Menor"),CONCATENATE("R2C",'Mapa final'!$Q$23),"")</f>
        <v/>
      </c>
      <c r="Q47" s="70" t="e">
        <f>IF(AND('Mapa final'!#REF!="Muy Baja",'Mapa final'!#REF!="Menor"),CONCATENATE("R2C",'Mapa final'!#REF!),"")</f>
        <v>#REF!</v>
      </c>
      <c r="R47" s="70" t="e">
        <f>IF(AND('Mapa final'!#REF!="Muy Baja",'Mapa final'!#REF!="Menor"),CONCATENATE("R2C",'Mapa final'!#REF!),"")</f>
        <v>#REF!</v>
      </c>
      <c r="S47" s="70" t="e">
        <f>IF(AND('Mapa final'!#REF!="Muy Baja",'Mapa final'!#REF!="Menor"),CONCATENATE("R2C",'Mapa final'!#REF!),"")</f>
        <v>#REF!</v>
      </c>
      <c r="T47" s="70" t="e">
        <f>IF(AND('Mapa final'!#REF!="Muy Baja",'Mapa final'!#REF!="Menor"),CONCATENATE("R2C",'Mapa final'!#REF!),"")</f>
        <v>#REF!</v>
      </c>
      <c r="U47" s="71" t="e">
        <f>IF(AND('Mapa final'!#REF!="Muy Baja",'Mapa final'!#REF!="Menor"),CONCATENATE("R2C",'Mapa final'!#REF!),"")</f>
        <v>#REF!</v>
      </c>
      <c r="V47" s="60" t="str">
        <f>IF(AND('Mapa final'!$AA$23="Muy Baja",'Mapa final'!$AC$23="Moderado"),CONCATENATE("R2C",'Mapa final'!$Q$23),"")</f>
        <v/>
      </c>
      <c r="W47" s="61" t="e">
        <f>IF(AND('Mapa final'!#REF!="Muy Baja",'Mapa final'!#REF!="Moderado"),CONCATENATE("R2C",'Mapa final'!#REF!),"")</f>
        <v>#REF!</v>
      </c>
      <c r="X47" s="61" t="e">
        <f>IF(AND('Mapa final'!#REF!="Muy Baja",'Mapa final'!#REF!="Moderado"),CONCATENATE("R2C",'Mapa final'!#REF!),"")</f>
        <v>#REF!</v>
      </c>
      <c r="Y47" s="61" t="e">
        <f>IF(AND('Mapa final'!#REF!="Muy Baja",'Mapa final'!#REF!="Moderado"),CONCATENATE("R2C",'Mapa final'!#REF!),"")</f>
        <v>#REF!</v>
      </c>
      <c r="Z47" s="61" t="e">
        <f>IF(AND('Mapa final'!#REF!="Muy Baja",'Mapa final'!#REF!="Moderado"),CONCATENATE("R2C",'Mapa final'!#REF!),"")</f>
        <v>#REF!</v>
      </c>
      <c r="AA47" s="62" t="e">
        <f>IF(AND('Mapa final'!#REF!="Muy Baja",'Mapa final'!#REF!="Moderado"),CONCATENATE("R2C",'Mapa final'!#REF!),"")</f>
        <v>#REF!</v>
      </c>
      <c r="AB47" s="45" t="str">
        <f>IF(AND('Mapa final'!$AA$23="Muy Baja",'Mapa final'!$AC$23="Mayor"),CONCATENATE("R2C",'Mapa final'!$Q$23),"")</f>
        <v/>
      </c>
      <c r="AC47" s="46" t="e">
        <f>IF(AND('Mapa final'!#REF!="Muy Baja",'Mapa final'!#REF!="Mayor"),CONCATENATE("R2C",'Mapa final'!#REF!),"")</f>
        <v>#REF!</v>
      </c>
      <c r="AD47" s="46" t="e">
        <f>IF(AND('Mapa final'!#REF!="Muy Baja",'Mapa final'!#REF!="Mayor"),CONCATENATE("R2C",'Mapa final'!#REF!),"")</f>
        <v>#REF!</v>
      </c>
      <c r="AE47" s="46" t="e">
        <f>IF(AND('Mapa final'!#REF!="Muy Baja",'Mapa final'!#REF!="Mayor"),CONCATENATE("R2C",'Mapa final'!#REF!),"")</f>
        <v>#REF!</v>
      </c>
      <c r="AF47" s="46" t="e">
        <f>IF(AND('Mapa final'!#REF!="Muy Baja",'Mapa final'!#REF!="Mayor"),CONCATENATE("R2C",'Mapa final'!#REF!),"")</f>
        <v>#REF!</v>
      </c>
      <c r="AG47" s="47" t="e">
        <f>IF(AND('Mapa final'!#REF!="Muy Baja",'Mapa final'!#REF!="Mayor"),CONCATENATE("R2C",'Mapa final'!#REF!),"")</f>
        <v>#REF!</v>
      </c>
      <c r="AH47" s="48" t="str">
        <f>IF(AND('Mapa final'!$AA$23="Muy Baja",'Mapa final'!$AC$23="Catastrófico"),CONCATENATE("R2C",'Mapa final'!$Q$23),"")</f>
        <v/>
      </c>
      <c r="AI47" s="49" t="e">
        <f>IF(AND('Mapa final'!#REF!="Muy Baja",'Mapa final'!#REF!="Catastrófico"),CONCATENATE("R2C",'Mapa final'!#REF!),"")</f>
        <v>#REF!</v>
      </c>
      <c r="AJ47" s="49" t="e">
        <f>IF(AND('Mapa final'!#REF!="Muy Baja",'Mapa final'!#REF!="Catastrófico"),CONCATENATE("R2C",'Mapa final'!#REF!),"")</f>
        <v>#REF!</v>
      </c>
      <c r="AK47" s="49" t="e">
        <f>IF(AND('Mapa final'!#REF!="Muy Baja",'Mapa final'!#REF!="Catastrófico"),CONCATENATE("R2C",'Mapa final'!#REF!),"")</f>
        <v>#REF!</v>
      </c>
      <c r="AL47" s="49" t="e">
        <f>IF(AND('Mapa final'!#REF!="Muy Baja",'Mapa final'!#REF!="Catastrófico"),CONCATENATE("R2C",'Mapa final'!#REF!),"")</f>
        <v>#REF!</v>
      </c>
      <c r="AM47" s="50" t="e">
        <f>IF(AND('Mapa final'!#REF!="Muy Baja",'Mapa final'!#REF!="Catastrófico"),CONCATENATE("R2C",'Mapa final'!#REF!),"")</f>
        <v>#REF!</v>
      </c>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c r="CB47" s="76"/>
    </row>
    <row r="48" spans="1:80" ht="15" customHeight="1" x14ac:dyDescent="0.25">
      <c r="A48" s="76"/>
      <c r="B48" s="445"/>
      <c r="C48" s="445"/>
      <c r="D48" s="446"/>
      <c r="E48" s="502"/>
      <c r="F48" s="487"/>
      <c r="G48" s="487"/>
      <c r="H48" s="487"/>
      <c r="I48" s="488"/>
      <c r="J48" s="69" t="str">
        <f>IF(AND('Mapa final'!$AA$24="Muy Baja",'Mapa final'!$AC$24="Leve"),CONCATENATE("R3C",'Mapa final'!$Q$24),"")</f>
        <v/>
      </c>
      <c r="K48" s="70" t="str">
        <f>IF(AND('Mapa final'!$AA$25="Muy Baja",'Mapa final'!$AC$25="Leve"),CONCATENATE("R3C",'Mapa final'!$Q$25),"")</f>
        <v/>
      </c>
      <c r="L48" s="70" t="str">
        <f>IF(AND('Mapa final'!$AA$26="Muy Baja",'Mapa final'!$AC$26="Leve"),CONCATENATE("R3C",'Mapa final'!$Q$26),"")</f>
        <v/>
      </c>
      <c r="M48" s="70" t="e">
        <f>IF(AND('Mapa final'!#REF!="Muy Baja",'Mapa final'!#REF!="Leve"),CONCATENATE("R3C",'Mapa final'!#REF!),"")</f>
        <v>#REF!</v>
      </c>
      <c r="N48" s="70" t="e">
        <f>IF(AND('Mapa final'!#REF!="Muy Baja",'Mapa final'!#REF!="Leve"),CONCATENATE("R3C",'Mapa final'!#REF!),"")</f>
        <v>#REF!</v>
      </c>
      <c r="O48" s="71" t="e">
        <f>IF(AND('Mapa final'!#REF!="Muy Baja",'Mapa final'!#REF!="Leve"),CONCATENATE("R3C",'Mapa final'!#REF!),"")</f>
        <v>#REF!</v>
      </c>
      <c r="P48" s="69" t="str">
        <f>IF(AND('Mapa final'!$AA$24="Muy Baja",'Mapa final'!$AC$24="Menor"),CONCATENATE("R3C",'Mapa final'!$Q$24),"")</f>
        <v/>
      </c>
      <c r="Q48" s="70" t="str">
        <f>IF(AND('Mapa final'!$AA$25="Muy Baja",'Mapa final'!$AC$25="Menor"),CONCATENATE("R3C",'Mapa final'!$Q$25),"")</f>
        <v/>
      </c>
      <c r="R48" s="70" t="str">
        <f>IF(AND('Mapa final'!$AA$26="Muy Baja",'Mapa final'!$AC$26="Menor"),CONCATENATE("R3C",'Mapa final'!$Q$26),"")</f>
        <v>R3C3</v>
      </c>
      <c r="S48" s="70" t="e">
        <f>IF(AND('Mapa final'!#REF!="Muy Baja",'Mapa final'!#REF!="Menor"),CONCATENATE("R3C",'Mapa final'!#REF!),"")</f>
        <v>#REF!</v>
      </c>
      <c r="T48" s="70" t="e">
        <f>IF(AND('Mapa final'!#REF!="Muy Baja",'Mapa final'!#REF!="Menor"),CONCATENATE("R3C",'Mapa final'!#REF!),"")</f>
        <v>#REF!</v>
      </c>
      <c r="U48" s="71" t="e">
        <f>IF(AND('Mapa final'!#REF!="Muy Baja",'Mapa final'!#REF!="Menor"),CONCATENATE("R3C",'Mapa final'!#REF!),"")</f>
        <v>#REF!</v>
      </c>
      <c r="V48" s="60" t="str">
        <f>IF(AND('Mapa final'!$AA$24="Muy Baja",'Mapa final'!$AC$24="Moderado"),CONCATENATE("R3C",'Mapa final'!$Q$24),"")</f>
        <v/>
      </c>
      <c r="W48" s="61" t="str">
        <f>IF(AND('Mapa final'!$AA$25="Muy Baja",'Mapa final'!$AC$25="Moderado"),CONCATENATE("R3C",'Mapa final'!$Q$25),"")</f>
        <v/>
      </c>
      <c r="X48" s="61" t="str">
        <f>IF(AND('Mapa final'!$AA$26="Muy Baja",'Mapa final'!$AC$26="Moderado"),CONCATENATE("R3C",'Mapa final'!$Q$26),"")</f>
        <v/>
      </c>
      <c r="Y48" s="61" t="e">
        <f>IF(AND('Mapa final'!#REF!="Muy Baja",'Mapa final'!#REF!="Moderado"),CONCATENATE("R3C",'Mapa final'!#REF!),"")</f>
        <v>#REF!</v>
      </c>
      <c r="Z48" s="61" t="e">
        <f>IF(AND('Mapa final'!#REF!="Muy Baja",'Mapa final'!#REF!="Moderado"),CONCATENATE("R3C",'Mapa final'!#REF!),"")</f>
        <v>#REF!</v>
      </c>
      <c r="AA48" s="62" t="e">
        <f>IF(AND('Mapa final'!#REF!="Muy Baja",'Mapa final'!#REF!="Moderado"),CONCATENATE("R3C",'Mapa final'!#REF!),"")</f>
        <v>#REF!</v>
      </c>
      <c r="AB48" s="45" t="str">
        <f>IF(AND('Mapa final'!$AA$24="Muy Baja",'Mapa final'!$AC$24="Mayor"),CONCATENATE("R3C",'Mapa final'!$Q$24),"")</f>
        <v/>
      </c>
      <c r="AC48" s="46" t="str">
        <f>IF(AND('Mapa final'!$AA$25="Muy Baja",'Mapa final'!$AC$25="Mayor"),CONCATENATE("R3C",'Mapa final'!$Q$25),"")</f>
        <v/>
      </c>
      <c r="AD48" s="46" t="str">
        <f>IF(AND('Mapa final'!$AA$26="Muy Baja",'Mapa final'!$AC$26="Mayor"),CONCATENATE("R3C",'Mapa final'!$Q$26),"")</f>
        <v/>
      </c>
      <c r="AE48" s="46" t="e">
        <f>IF(AND('Mapa final'!#REF!="Muy Baja",'Mapa final'!#REF!="Mayor"),CONCATENATE("R3C",'Mapa final'!#REF!),"")</f>
        <v>#REF!</v>
      </c>
      <c r="AF48" s="46" t="e">
        <f>IF(AND('Mapa final'!#REF!="Muy Baja",'Mapa final'!#REF!="Mayor"),CONCATENATE("R3C",'Mapa final'!#REF!),"")</f>
        <v>#REF!</v>
      </c>
      <c r="AG48" s="47" t="e">
        <f>IF(AND('Mapa final'!#REF!="Muy Baja",'Mapa final'!#REF!="Mayor"),CONCATENATE("R3C",'Mapa final'!#REF!),"")</f>
        <v>#REF!</v>
      </c>
      <c r="AH48" s="48" t="str">
        <f>IF(AND('Mapa final'!$AA$24="Muy Baja",'Mapa final'!$AC$24="Catastrófico"),CONCATENATE("R3C",'Mapa final'!$Q$24),"")</f>
        <v/>
      </c>
      <c r="AI48" s="49" t="str">
        <f>IF(AND('Mapa final'!$AA$25="Muy Baja",'Mapa final'!$AC$25="Catastrófico"),CONCATENATE("R3C",'Mapa final'!$Q$25),"")</f>
        <v/>
      </c>
      <c r="AJ48" s="49" t="str">
        <f>IF(AND('Mapa final'!$AA$26="Muy Baja",'Mapa final'!$AC$26="Catastrófico"),CONCATENATE("R3C",'Mapa final'!$Q$26),"")</f>
        <v/>
      </c>
      <c r="AK48" s="49" t="e">
        <f>IF(AND('Mapa final'!#REF!="Muy Baja",'Mapa final'!#REF!="Catastrófico"),CONCATENATE("R3C",'Mapa final'!#REF!),"")</f>
        <v>#REF!</v>
      </c>
      <c r="AL48" s="49" t="e">
        <f>IF(AND('Mapa final'!#REF!="Muy Baja",'Mapa final'!#REF!="Catastrófico"),CONCATENATE("R3C",'Mapa final'!#REF!),"")</f>
        <v>#REF!</v>
      </c>
      <c r="AM48" s="50" t="e">
        <f>IF(AND('Mapa final'!#REF!="Muy Baja",'Mapa final'!#REF!="Catastrófico"),CONCATENATE("R3C",'Mapa final'!#REF!),"")</f>
        <v>#REF!</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row>
    <row r="49" spans="1:80" ht="15" customHeight="1" x14ac:dyDescent="0.25">
      <c r="A49" s="76"/>
      <c r="B49" s="445"/>
      <c r="C49" s="445"/>
      <c r="D49" s="446"/>
      <c r="E49" s="486"/>
      <c r="F49" s="487"/>
      <c r="G49" s="487"/>
      <c r="H49" s="487"/>
      <c r="I49" s="488"/>
      <c r="J49" s="69" t="str">
        <f>IF(AND('Mapa final'!$AA$27="Muy Baja",'Mapa final'!$AC$27="Leve"),CONCATENATE("R4C",'Mapa final'!$Q$27),"")</f>
        <v/>
      </c>
      <c r="K49" s="70" t="str">
        <f>IF(AND('Mapa final'!$AA$29="Muy Baja",'Mapa final'!$AC$29="Leve"),CONCATENATE("R4C",'Mapa final'!$Q$29),"")</f>
        <v/>
      </c>
      <c r="L49" s="70" t="e">
        <f>IF(AND('Mapa final'!#REF!="Muy Baja",'Mapa final'!#REF!="Leve"),CONCATENATE("R4C",'Mapa final'!#REF!),"")</f>
        <v>#REF!</v>
      </c>
      <c r="M49" s="70" t="e">
        <f>IF(AND('Mapa final'!#REF!="Muy Baja",'Mapa final'!#REF!="Leve"),CONCATENATE("R4C",'Mapa final'!#REF!),"")</f>
        <v>#REF!</v>
      </c>
      <c r="N49" s="70" t="e">
        <f>IF(AND('Mapa final'!#REF!="Muy Baja",'Mapa final'!#REF!="Leve"),CONCATENATE("R4C",'Mapa final'!#REF!),"")</f>
        <v>#REF!</v>
      </c>
      <c r="O49" s="71" t="e">
        <f>IF(AND('Mapa final'!#REF!="Muy Baja",'Mapa final'!#REF!="Leve"),CONCATENATE("R4C",'Mapa final'!#REF!),"")</f>
        <v>#REF!</v>
      </c>
      <c r="P49" s="69" t="str">
        <f>IF(AND('Mapa final'!$AA$27="Muy Baja",'Mapa final'!$AC$27="Menor"),CONCATENATE("R4C",'Mapa final'!$Q$27),"")</f>
        <v/>
      </c>
      <c r="Q49" s="70" t="str">
        <f>IF(AND('Mapa final'!$AA$29="Muy Baja",'Mapa final'!$AC$29="Menor"),CONCATENATE("R4C",'Mapa final'!$Q$29),"")</f>
        <v/>
      </c>
      <c r="R49" s="70" t="e">
        <f>IF(AND('Mapa final'!#REF!="Muy Baja",'Mapa final'!#REF!="Menor"),CONCATENATE("R4C",'Mapa final'!#REF!),"")</f>
        <v>#REF!</v>
      </c>
      <c r="S49" s="70" t="e">
        <f>IF(AND('Mapa final'!#REF!="Muy Baja",'Mapa final'!#REF!="Menor"),CONCATENATE("R4C",'Mapa final'!#REF!),"")</f>
        <v>#REF!</v>
      </c>
      <c r="T49" s="70" t="e">
        <f>IF(AND('Mapa final'!#REF!="Muy Baja",'Mapa final'!#REF!="Menor"),CONCATENATE("R4C",'Mapa final'!#REF!),"")</f>
        <v>#REF!</v>
      </c>
      <c r="U49" s="71" t="e">
        <f>IF(AND('Mapa final'!#REF!="Muy Baja",'Mapa final'!#REF!="Menor"),CONCATENATE("R4C",'Mapa final'!#REF!),"")</f>
        <v>#REF!</v>
      </c>
      <c r="V49" s="60" t="str">
        <f>IF(AND('Mapa final'!$AA$27="Muy Baja",'Mapa final'!$AC$27="Moderado"),CONCATENATE("R4C",'Mapa final'!$Q$27),"")</f>
        <v/>
      </c>
      <c r="W49" s="61" t="str">
        <f>IF(AND('Mapa final'!$AA$29="Muy Baja",'Mapa final'!$AC$29="Moderado"),CONCATENATE("R4C",'Mapa final'!$Q$29),"")</f>
        <v/>
      </c>
      <c r="X49" s="61" t="e">
        <f>IF(AND('Mapa final'!#REF!="Muy Baja",'Mapa final'!#REF!="Moderado"),CONCATENATE("R4C",'Mapa final'!#REF!),"")</f>
        <v>#REF!</v>
      </c>
      <c r="Y49" s="61" t="e">
        <f>IF(AND('Mapa final'!#REF!="Muy Baja",'Mapa final'!#REF!="Moderado"),CONCATENATE("R4C",'Mapa final'!#REF!),"")</f>
        <v>#REF!</v>
      </c>
      <c r="Z49" s="61" t="e">
        <f>IF(AND('Mapa final'!#REF!="Muy Baja",'Mapa final'!#REF!="Moderado"),CONCATENATE("R4C",'Mapa final'!#REF!),"")</f>
        <v>#REF!</v>
      </c>
      <c r="AA49" s="62" t="e">
        <f>IF(AND('Mapa final'!#REF!="Muy Baja",'Mapa final'!#REF!="Moderado"),CONCATENATE("R4C",'Mapa final'!#REF!),"")</f>
        <v>#REF!</v>
      </c>
      <c r="AB49" s="45" t="str">
        <f>IF(AND('Mapa final'!$AA$27="Muy Baja",'Mapa final'!$AC$27="Mayor"),CONCATENATE("R4C",'Mapa final'!$Q$27),"")</f>
        <v/>
      </c>
      <c r="AC49" s="46" t="str">
        <f>IF(AND('Mapa final'!$AA$29="Muy Baja",'Mapa final'!$AC$29="Mayor"),CONCATENATE("R4C",'Mapa final'!$Q$29),"")</f>
        <v/>
      </c>
      <c r="AD49" s="46" t="e">
        <f>IF(AND('Mapa final'!#REF!="Muy Baja",'Mapa final'!#REF!="Mayor"),CONCATENATE("R4C",'Mapa final'!#REF!),"")</f>
        <v>#REF!</v>
      </c>
      <c r="AE49" s="46" t="e">
        <f>IF(AND('Mapa final'!#REF!="Muy Baja",'Mapa final'!#REF!="Mayor"),CONCATENATE("R4C",'Mapa final'!#REF!),"")</f>
        <v>#REF!</v>
      </c>
      <c r="AF49" s="46" t="e">
        <f>IF(AND('Mapa final'!#REF!="Muy Baja",'Mapa final'!#REF!="Mayor"),CONCATENATE("R4C",'Mapa final'!#REF!),"")</f>
        <v>#REF!</v>
      </c>
      <c r="AG49" s="47" t="e">
        <f>IF(AND('Mapa final'!#REF!="Muy Baja",'Mapa final'!#REF!="Mayor"),CONCATENATE("R4C",'Mapa final'!#REF!),"")</f>
        <v>#REF!</v>
      </c>
      <c r="AH49" s="48" t="str">
        <f>IF(AND('Mapa final'!$AA$27="Muy Baja",'Mapa final'!$AC$27="Catastrófico"),CONCATENATE("R4C",'Mapa final'!$Q$27),"")</f>
        <v/>
      </c>
      <c r="AI49" s="49" t="str">
        <f>IF(AND('Mapa final'!$AA$29="Muy Baja",'Mapa final'!$AC$29="Catastrófico"),CONCATENATE("R4C",'Mapa final'!$Q$29),"")</f>
        <v/>
      </c>
      <c r="AJ49" s="49" t="e">
        <f>IF(AND('Mapa final'!#REF!="Muy Baja",'Mapa final'!#REF!="Catastrófico"),CONCATENATE("R4C",'Mapa final'!#REF!),"")</f>
        <v>#REF!</v>
      </c>
      <c r="AK49" s="49" t="e">
        <f>IF(AND('Mapa final'!#REF!="Muy Baja",'Mapa final'!#REF!="Catastrófico"),CONCATENATE("R4C",'Mapa final'!#REF!),"")</f>
        <v>#REF!</v>
      </c>
      <c r="AL49" s="49" t="e">
        <f>IF(AND('Mapa final'!#REF!="Muy Baja",'Mapa final'!#REF!="Catastrófico"),CONCATENATE("R4C",'Mapa final'!#REF!),"")</f>
        <v>#REF!</v>
      </c>
      <c r="AM49" s="50" t="e">
        <f>IF(AND('Mapa final'!#REF!="Muy Baja",'Mapa final'!#REF!="Catastrófico"),CONCATENATE("R4C",'Mapa final'!#REF!),"")</f>
        <v>#REF!</v>
      </c>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row>
    <row r="50" spans="1:80" ht="15" customHeight="1" x14ac:dyDescent="0.25">
      <c r="A50" s="76"/>
      <c r="B50" s="445"/>
      <c r="C50" s="445"/>
      <c r="D50" s="446"/>
      <c r="E50" s="486"/>
      <c r="F50" s="487"/>
      <c r="G50" s="487"/>
      <c r="H50" s="487"/>
      <c r="I50" s="488"/>
      <c r="J50" s="69" t="str">
        <f>IF(AND('Mapa final'!$AA$30="Muy Baja",'Mapa final'!$AC$30="Leve"),CONCATENATE("R5C",'Mapa final'!$Q$30),"")</f>
        <v/>
      </c>
      <c r="K50" s="70" t="e">
        <f>IF(AND('Mapa final'!#REF!="Muy Baja",'Mapa final'!#REF!="Leve"),CONCATENATE("R5C",'Mapa final'!#REF!),"")</f>
        <v>#REF!</v>
      </c>
      <c r="L50" s="70" t="e">
        <f>IF(AND('Mapa final'!#REF!="Muy Baja",'Mapa final'!#REF!="Leve"),CONCATENATE("R5C",'Mapa final'!#REF!),"")</f>
        <v>#REF!</v>
      </c>
      <c r="M50" s="70" t="e">
        <f>IF(AND('Mapa final'!#REF!="Muy Baja",'Mapa final'!#REF!="Leve"),CONCATENATE("R5C",'Mapa final'!#REF!),"")</f>
        <v>#REF!</v>
      </c>
      <c r="N50" s="70" t="e">
        <f>IF(AND('Mapa final'!#REF!="Muy Baja",'Mapa final'!#REF!="Leve"),CONCATENATE("R5C",'Mapa final'!#REF!),"")</f>
        <v>#REF!</v>
      </c>
      <c r="O50" s="71" t="e">
        <f>IF(AND('Mapa final'!#REF!="Muy Baja",'Mapa final'!#REF!="Leve"),CONCATENATE("R5C",'Mapa final'!#REF!),"")</f>
        <v>#REF!</v>
      </c>
      <c r="P50" s="69" t="str">
        <f>IF(AND('Mapa final'!$AA$30="Muy Baja",'Mapa final'!$AC$30="Menor"),CONCATENATE("R5C",'Mapa final'!$Q$30),"")</f>
        <v/>
      </c>
      <c r="Q50" s="70" t="e">
        <f>IF(AND('Mapa final'!#REF!="Muy Baja",'Mapa final'!#REF!="Menor"),CONCATENATE("R5C",'Mapa final'!#REF!),"")</f>
        <v>#REF!</v>
      </c>
      <c r="R50" s="70" t="e">
        <f>IF(AND('Mapa final'!#REF!="Muy Baja",'Mapa final'!#REF!="Menor"),CONCATENATE("R5C",'Mapa final'!#REF!),"")</f>
        <v>#REF!</v>
      </c>
      <c r="S50" s="70" t="e">
        <f>IF(AND('Mapa final'!#REF!="Muy Baja",'Mapa final'!#REF!="Menor"),CONCATENATE("R5C",'Mapa final'!#REF!),"")</f>
        <v>#REF!</v>
      </c>
      <c r="T50" s="70" t="e">
        <f>IF(AND('Mapa final'!#REF!="Muy Baja",'Mapa final'!#REF!="Menor"),CONCATENATE("R5C",'Mapa final'!#REF!),"")</f>
        <v>#REF!</v>
      </c>
      <c r="U50" s="71" t="e">
        <f>IF(AND('Mapa final'!#REF!="Muy Baja",'Mapa final'!#REF!="Menor"),CONCATENATE("R5C",'Mapa final'!#REF!),"")</f>
        <v>#REF!</v>
      </c>
      <c r="V50" s="60" t="str">
        <f>IF(AND('Mapa final'!$AA$30="Muy Baja",'Mapa final'!$AC$30="Moderado"),CONCATENATE("R5C",'Mapa final'!$Q$30),"")</f>
        <v/>
      </c>
      <c r="W50" s="61" t="e">
        <f>IF(AND('Mapa final'!#REF!="Muy Baja",'Mapa final'!#REF!="Moderado"),CONCATENATE("R5C",'Mapa final'!#REF!),"")</f>
        <v>#REF!</v>
      </c>
      <c r="X50" s="61" t="e">
        <f>IF(AND('Mapa final'!#REF!="Muy Baja",'Mapa final'!#REF!="Moderado"),CONCATENATE("R5C",'Mapa final'!#REF!),"")</f>
        <v>#REF!</v>
      </c>
      <c r="Y50" s="61" t="e">
        <f>IF(AND('Mapa final'!#REF!="Muy Baja",'Mapa final'!#REF!="Moderado"),CONCATENATE("R5C",'Mapa final'!#REF!),"")</f>
        <v>#REF!</v>
      </c>
      <c r="Z50" s="61" t="e">
        <f>IF(AND('Mapa final'!#REF!="Muy Baja",'Mapa final'!#REF!="Moderado"),CONCATENATE("R5C",'Mapa final'!#REF!),"")</f>
        <v>#REF!</v>
      </c>
      <c r="AA50" s="62" t="e">
        <f>IF(AND('Mapa final'!#REF!="Muy Baja",'Mapa final'!#REF!="Moderado"),CONCATENATE("R5C",'Mapa final'!#REF!),"")</f>
        <v>#REF!</v>
      </c>
      <c r="AB50" s="45" t="str">
        <f>IF(AND('Mapa final'!$AA$30="Muy Baja",'Mapa final'!$AC$30="Mayor"),CONCATENATE("R5C",'Mapa final'!$Q$30),"")</f>
        <v/>
      </c>
      <c r="AC50" s="46" t="e">
        <f>IF(AND('Mapa final'!#REF!="Muy Baja",'Mapa final'!#REF!="Mayor"),CONCATENATE("R5C",'Mapa final'!#REF!),"")</f>
        <v>#REF!</v>
      </c>
      <c r="AD50" s="46" t="e">
        <f>IF(AND('Mapa final'!#REF!="Muy Baja",'Mapa final'!#REF!="Mayor"),CONCATENATE("R5C",'Mapa final'!#REF!),"")</f>
        <v>#REF!</v>
      </c>
      <c r="AE50" s="46" t="e">
        <f>IF(AND('Mapa final'!#REF!="Muy Baja",'Mapa final'!#REF!="Mayor"),CONCATENATE("R5C",'Mapa final'!#REF!),"")</f>
        <v>#REF!</v>
      </c>
      <c r="AF50" s="46" t="e">
        <f>IF(AND('Mapa final'!#REF!="Muy Baja",'Mapa final'!#REF!="Mayor"),CONCATENATE("R5C",'Mapa final'!#REF!),"")</f>
        <v>#REF!</v>
      </c>
      <c r="AG50" s="47" t="e">
        <f>IF(AND('Mapa final'!#REF!="Muy Baja",'Mapa final'!#REF!="Mayor"),CONCATENATE("R5C",'Mapa final'!#REF!),"")</f>
        <v>#REF!</v>
      </c>
      <c r="AH50" s="48" t="str">
        <f>IF(AND('Mapa final'!$AA$30="Muy Baja",'Mapa final'!$AC$30="Catastrófico"),CONCATENATE("R5C",'Mapa final'!$Q$30),"")</f>
        <v/>
      </c>
      <c r="AI50" s="49" t="e">
        <f>IF(AND('Mapa final'!#REF!="Muy Baja",'Mapa final'!#REF!="Catastrófico"),CONCATENATE("R5C",'Mapa final'!#REF!),"")</f>
        <v>#REF!</v>
      </c>
      <c r="AJ50" s="49" t="e">
        <f>IF(AND('Mapa final'!#REF!="Muy Baja",'Mapa final'!#REF!="Catastrófico"),CONCATENATE("R5C",'Mapa final'!#REF!),"")</f>
        <v>#REF!</v>
      </c>
      <c r="AK50" s="49" t="e">
        <f>IF(AND('Mapa final'!#REF!="Muy Baja",'Mapa final'!#REF!="Catastrófico"),CONCATENATE("R5C",'Mapa final'!#REF!),"")</f>
        <v>#REF!</v>
      </c>
      <c r="AL50" s="49" t="e">
        <f>IF(AND('Mapa final'!#REF!="Muy Baja",'Mapa final'!#REF!="Catastrófico"),CONCATENATE("R5C",'Mapa final'!#REF!),"")</f>
        <v>#REF!</v>
      </c>
      <c r="AM50" s="50" t="e">
        <f>IF(AND('Mapa final'!#REF!="Muy Baja",'Mapa final'!#REF!="Catastrófico"),CONCATENATE("R5C",'Mapa final'!#REF!),"")</f>
        <v>#REF!</v>
      </c>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row>
    <row r="51" spans="1:80" ht="15" customHeight="1" x14ac:dyDescent="0.25">
      <c r="A51" s="76"/>
      <c r="B51" s="445"/>
      <c r="C51" s="445"/>
      <c r="D51" s="446"/>
      <c r="E51" s="486"/>
      <c r="F51" s="487"/>
      <c r="G51" s="487"/>
      <c r="H51" s="487"/>
      <c r="I51" s="488"/>
      <c r="J51" s="69" t="e">
        <f>IF(AND('Mapa final'!#REF!="Muy Baja",'Mapa final'!#REF!="Leve"),CONCATENATE("R6C",'Mapa final'!#REF!),"")</f>
        <v>#REF!</v>
      </c>
      <c r="K51" s="70" t="e">
        <f>IF(AND('Mapa final'!#REF!="Muy Baja",'Mapa final'!#REF!="Leve"),CONCATENATE("R6C",'Mapa final'!#REF!),"")</f>
        <v>#REF!</v>
      </c>
      <c r="L51" s="70" t="e">
        <f>IF(AND('Mapa final'!#REF!="Muy Baja",'Mapa final'!#REF!="Leve"),CONCATENATE("R6C",'Mapa final'!#REF!),"")</f>
        <v>#REF!</v>
      </c>
      <c r="M51" s="70" t="e">
        <f>IF(AND('Mapa final'!#REF!="Muy Baja",'Mapa final'!#REF!="Leve"),CONCATENATE("R6C",'Mapa final'!#REF!),"")</f>
        <v>#REF!</v>
      </c>
      <c r="N51" s="70" t="e">
        <f>IF(AND('Mapa final'!#REF!="Muy Baja",'Mapa final'!#REF!="Leve"),CONCATENATE("R6C",'Mapa final'!#REF!),"")</f>
        <v>#REF!</v>
      </c>
      <c r="O51" s="71" t="e">
        <f>IF(AND('Mapa final'!#REF!="Muy Baja",'Mapa final'!#REF!="Leve"),CONCATENATE("R6C",'Mapa final'!#REF!),"")</f>
        <v>#REF!</v>
      </c>
      <c r="P51" s="69" t="e">
        <f>IF(AND('Mapa final'!#REF!="Muy Baja",'Mapa final'!#REF!="Menor"),CONCATENATE("R6C",'Mapa final'!#REF!),"")</f>
        <v>#REF!</v>
      </c>
      <c r="Q51" s="70" t="e">
        <f>IF(AND('Mapa final'!#REF!="Muy Baja",'Mapa final'!#REF!="Menor"),CONCATENATE("R6C",'Mapa final'!#REF!),"")</f>
        <v>#REF!</v>
      </c>
      <c r="R51" s="70" t="e">
        <f>IF(AND('Mapa final'!#REF!="Muy Baja",'Mapa final'!#REF!="Menor"),CONCATENATE("R6C",'Mapa final'!#REF!),"")</f>
        <v>#REF!</v>
      </c>
      <c r="S51" s="70" t="e">
        <f>IF(AND('Mapa final'!#REF!="Muy Baja",'Mapa final'!#REF!="Menor"),CONCATENATE("R6C",'Mapa final'!#REF!),"")</f>
        <v>#REF!</v>
      </c>
      <c r="T51" s="70" t="e">
        <f>IF(AND('Mapa final'!#REF!="Muy Baja",'Mapa final'!#REF!="Menor"),CONCATENATE("R6C",'Mapa final'!#REF!),"")</f>
        <v>#REF!</v>
      </c>
      <c r="U51" s="71" t="e">
        <f>IF(AND('Mapa final'!#REF!="Muy Baja",'Mapa final'!#REF!="Menor"),CONCATENATE("R6C",'Mapa final'!#REF!),"")</f>
        <v>#REF!</v>
      </c>
      <c r="V51" s="60" t="e">
        <f>IF(AND('Mapa final'!#REF!="Muy Baja",'Mapa final'!#REF!="Moderado"),CONCATENATE("R6C",'Mapa final'!#REF!),"")</f>
        <v>#REF!</v>
      </c>
      <c r="W51" s="61" t="e">
        <f>IF(AND('Mapa final'!#REF!="Muy Baja",'Mapa final'!#REF!="Moderado"),CONCATENATE("R6C",'Mapa final'!#REF!),"")</f>
        <v>#REF!</v>
      </c>
      <c r="X51" s="61" t="e">
        <f>IF(AND('Mapa final'!#REF!="Muy Baja",'Mapa final'!#REF!="Moderado"),CONCATENATE("R6C",'Mapa final'!#REF!),"")</f>
        <v>#REF!</v>
      </c>
      <c r="Y51" s="61" t="e">
        <f>IF(AND('Mapa final'!#REF!="Muy Baja",'Mapa final'!#REF!="Moderado"),CONCATENATE("R6C",'Mapa final'!#REF!),"")</f>
        <v>#REF!</v>
      </c>
      <c r="Z51" s="61" t="e">
        <f>IF(AND('Mapa final'!#REF!="Muy Baja",'Mapa final'!#REF!="Moderado"),CONCATENATE("R6C",'Mapa final'!#REF!),"")</f>
        <v>#REF!</v>
      </c>
      <c r="AA51" s="62" t="e">
        <f>IF(AND('Mapa final'!#REF!="Muy Baja",'Mapa final'!#REF!="Moderado"),CONCATENATE("R6C",'Mapa final'!#REF!),"")</f>
        <v>#REF!</v>
      </c>
      <c r="AB51" s="45" t="e">
        <f>IF(AND('Mapa final'!#REF!="Muy Baja",'Mapa final'!#REF!="Mayor"),CONCATENATE("R6C",'Mapa final'!#REF!),"")</f>
        <v>#REF!</v>
      </c>
      <c r="AC51" s="46" t="e">
        <f>IF(AND('Mapa final'!#REF!="Muy Baja",'Mapa final'!#REF!="Mayor"),CONCATENATE("R6C",'Mapa final'!#REF!),"")</f>
        <v>#REF!</v>
      </c>
      <c r="AD51" s="46" t="e">
        <f>IF(AND('Mapa final'!#REF!="Muy Baja",'Mapa final'!#REF!="Mayor"),CONCATENATE("R6C",'Mapa final'!#REF!),"")</f>
        <v>#REF!</v>
      </c>
      <c r="AE51" s="46" t="e">
        <f>IF(AND('Mapa final'!#REF!="Muy Baja",'Mapa final'!#REF!="Mayor"),CONCATENATE("R6C",'Mapa final'!#REF!),"")</f>
        <v>#REF!</v>
      </c>
      <c r="AF51" s="46" t="e">
        <f>IF(AND('Mapa final'!#REF!="Muy Baja",'Mapa final'!#REF!="Mayor"),CONCATENATE("R6C",'Mapa final'!#REF!),"")</f>
        <v>#REF!</v>
      </c>
      <c r="AG51" s="47" t="e">
        <f>IF(AND('Mapa final'!#REF!="Muy Baja",'Mapa final'!#REF!="Mayor"),CONCATENATE("R6C",'Mapa final'!#REF!),"")</f>
        <v>#REF!</v>
      </c>
      <c r="AH51" s="48" t="e">
        <f>IF(AND('Mapa final'!#REF!="Muy Baja",'Mapa final'!#REF!="Catastrófico"),CONCATENATE("R6C",'Mapa final'!#REF!),"")</f>
        <v>#REF!</v>
      </c>
      <c r="AI51" s="49" t="e">
        <f>IF(AND('Mapa final'!#REF!="Muy Baja",'Mapa final'!#REF!="Catastrófico"),CONCATENATE("R6C",'Mapa final'!#REF!),"")</f>
        <v>#REF!</v>
      </c>
      <c r="AJ51" s="49" t="e">
        <f>IF(AND('Mapa final'!#REF!="Muy Baja",'Mapa final'!#REF!="Catastrófico"),CONCATENATE("R6C",'Mapa final'!#REF!),"")</f>
        <v>#REF!</v>
      </c>
      <c r="AK51" s="49" t="e">
        <f>IF(AND('Mapa final'!#REF!="Muy Baja",'Mapa final'!#REF!="Catastrófico"),CONCATENATE("R6C",'Mapa final'!#REF!),"")</f>
        <v>#REF!</v>
      </c>
      <c r="AL51" s="49" t="e">
        <f>IF(AND('Mapa final'!#REF!="Muy Baja",'Mapa final'!#REF!="Catastrófico"),CONCATENATE("R6C",'Mapa final'!#REF!),"")</f>
        <v>#REF!</v>
      </c>
      <c r="AM51" s="50" t="e">
        <f>IF(AND('Mapa final'!#REF!="Muy Baja",'Mapa final'!#REF!="Catastrófico"),CONCATENATE("R6C",'Mapa final'!#REF!),"")</f>
        <v>#REF!</v>
      </c>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76"/>
      <c r="CA51" s="76"/>
      <c r="CB51" s="76"/>
    </row>
    <row r="52" spans="1:80" ht="15" customHeight="1" x14ac:dyDescent="0.25">
      <c r="A52" s="76"/>
      <c r="B52" s="445"/>
      <c r="C52" s="445"/>
      <c r="D52" s="446"/>
      <c r="E52" s="486"/>
      <c r="F52" s="487"/>
      <c r="G52" s="487"/>
      <c r="H52" s="487"/>
      <c r="I52" s="488"/>
      <c r="J52" s="69" t="e">
        <f>IF(AND('Mapa final'!#REF!="Muy Baja",'Mapa final'!#REF!="Leve"),CONCATENATE("R7C",'Mapa final'!#REF!),"")</f>
        <v>#REF!</v>
      </c>
      <c r="K52" s="70" t="e">
        <f>IF(AND('Mapa final'!#REF!="Muy Baja",'Mapa final'!#REF!="Leve"),CONCATENATE("R7C",'Mapa final'!#REF!),"")</f>
        <v>#REF!</v>
      </c>
      <c r="L52" s="70" t="e">
        <f>IF(AND('Mapa final'!#REF!="Muy Baja",'Mapa final'!#REF!="Leve"),CONCATENATE("R7C",'Mapa final'!#REF!),"")</f>
        <v>#REF!</v>
      </c>
      <c r="M52" s="70" t="e">
        <f>IF(AND('Mapa final'!#REF!="Muy Baja",'Mapa final'!#REF!="Leve"),CONCATENATE("R7C",'Mapa final'!#REF!),"")</f>
        <v>#REF!</v>
      </c>
      <c r="N52" s="70" t="e">
        <f>IF(AND('Mapa final'!#REF!="Muy Baja",'Mapa final'!#REF!="Leve"),CONCATENATE("R7C",'Mapa final'!#REF!),"")</f>
        <v>#REF!</v>
      </c>
      <c r="O52" s="71" t="e">
        <f>IF(AND('Mapa final'!#REF!="Muy Baja",'Mapa final'!#REF!="Leve"),CONCATENATE("R7C",'Mapa final'!#REF!),"")</f>
        <v>#REF!</v>
      </c>
      <c r="P52" s="69" t="e">
        <f>IF(AND('Mapa final'!#REF!="Muy Baja",'Mapa final'!#REF!="Menor"),CONCATENATE("R7C",'Mapa final'!#REF!),"")</f>
        <v>#REF!</v>
      </c>
      <c r="Q52" s="70" t="e">
        <f>IF(AND('Mapa final'!#REF!="Muy Baja",'Mapa final'!#REF!="Menor"),CONCATENATE("R7C",'Mapa final'!#REF!),"")</f>
        <v>#REF!</v>
      </c>
      <c r="R52" s="70" t="e">
        <f>IF(AND('Mapa final'!#REF!="Muy Baja",'Mapa final'!#REF!="Menor"),CONCATENATE("R7C",'Mapa final'!#REF!),"")</f>
        <v>#REF!</v>
      </c>
      <c r="S52" s="70" t="e">
        <f>IF(AND('Mapa final'!#REF!="Muy Baja",'Mapa final'!#REF!="Menor"),CONCATENATE("R7C",'Mapa final'!#REF!),"")</f>
        <v>#REF!</v>
      </c>
      <c r="T52" s="70" t="e">
        <f>IF(AND('Mapa final'!#REF!="Muy Baja",'Mapa final'!#REF!="Menor"),CONCATENATE("R7C",'Mapa final'!#REF!),"")</f>
        <v>#REF!</v>
      </c>
      <c r="U52" s="71" t="e">
        <f>IF(AND('Mapa final'!#REF!="Muy Baja",'Mapa final'!#REF!="Menor"),CONCATENATE("R7C",'Mapa final'!#REF!),"")</f>
        <v>#REF!</v>
      </c>
      <c r="V52" s="60" t="e">
        <f>IF(AND('Mapa final'!#REF!="Muy Baja",'Mapa final'!#REF!="Moderado"),CONCATENATE("R7C",'Mapa final'!#REF!),"")</f>
        <v>#REF!</v>
      </c>
      <c r="W52" s="61" t="e">
        <f>IF(AND('Mapa final'!#REF!="Muy Baja",'Mapa final'!#REF!="Moderado"),CONCATENATE("R7C",'Mapa final'!#REF!),"")</f>
        <v>#REF!</v>
      </c>
      <c r="X52" s="61" t="e">
        <f>IF(AND('Mapa final'!#REF!="Muy Baja",'Mapa final'!#REF!="Moderado"),CONCATENATE("R7C",'Mapa final'!#REF!),"")</f>
        <v>#REF!</v>
      </c>
      <c r="Y52" s="61" t="e">
        <f>IF(AND('Mapa final'!#REF!="Muy Baja",'Mapa final'!#REF!="Moderado"),CONCATENATE("R7C",'Mapa final'!#REF!),"")</f>
        <v>#REF!</v>
      </c>
      <c r="Z52" s="61" t="e">
        <f>IF(AND('Mapa final'!#REF!="Muy Baja",'Mapa final'!#REF!="Moderado"),CONCATENATE("R7C",'Mapa final'!#REF!),"")</f>
        <v>#REF!</v>
      </c>
      <c r="AA52" s="62" t="e">
        <f>IF(AND('Mapa final'!#REF!="Muy Baja",'Mapa final'!#REF!="Moderado"),CONCATENATE("R7C",'Mapa final'!#REF!),"")</f>
        <v>#REF!</v>
      </c>
      <c r="AB52" s="45" t="e">
        <f>IF(AND('Mapa final'!#REF!="Muy Baja",'Mapa final'!#REF!="Mayor"),CONCATENATE("R7C",'Mapa final'!#REF!),"")</f>
        <v>#REF!</v>
      </c>
      <c r="AC52" s="46" t="e">
        <f>IF(AND('Mapa final'!#REF!="Muy Baja",'Mapa final'!#REF!="Mayor"),CONCATENATE("R7C",'Mapa final'!#REF!),"")</f>
        <v>#REF!</v>
      </c>
      <c r="AD52" s="46" t="e">
        <f>IF(AND('Mapa final'!#REF!="Muy Baja",'Mapa final'!#REF!="Mayor"),CONCATENATE("R7C",'Mapa final'!#REF!),"")</f>
        <v>#REF!</v>
      </c>
      <c r="AE52" s="46" t="e">
        <f>IF(AND('Mapa final'!#REF!="Muy Baja",'Mapa final'!#REF!="Mayor"),CONCATENATE("R7C",'Mapa final'!#REF!),"")</f>
        <v>#REF!</v>
      </c>
      <c r="AF52" s="46" t="e">
        <f>IF(AND('Mapa final'!#REF!="Muy Baja",'Mapa final'!#REF!="Mayor"),CONCATENATE("R7C",'Mapa final'!#REF!),"")</f>
        <v>#REF!</v>
      </c>
      <c r="AG52" s="47" t="e">
        <f>IF(AND('Mapa final'!#REF!="Muy Baja",'Mapa final'!#REF!="Mayor"),CONCATENATE("R7C",'Mapa final'!#REF!),"")</f>
        <v>#REF!</v>
      </c>
      <c r="AH52" s="48" t="e">
        <f>IF(AND('Mapa final'!#REF!="Muy Baja",'Mapa final'!#REF!="Catastrófico"),CONCATENATE("R7C",'Mapa final'!#REF!),"")</f>
        <v>#REF!</v>
      </c>
      <c r="AI52" s="49" t="e">
        <f>IF(AND('Mapa final'!#REF!="Muy Baja",'Mapa final'!#REF!="Catastrófico"),CONCATENATE("R7C",'Mapa final'!#REF!),"")</f>
        <v>#REF!</v>
      </c>
      <c r="AJ52" s="49" t="e">
        <f>IF(AND('Mapa final'!#REF!="Muy Baja",'Mapa final'!#REF!="Catastrófico"),CONCATENATE("R7C",'Mapa final'!#REF!),"")</f>
        <v>#REF!</v>
      </c>
      <c r="AK52" s="49" t="e">
        <f>IF(AND('Mapa final'!#REF!="Muy Baja",'Mapa final'!#REF!="Catastrófico"),CONCATENATE("R7C",'Mapa final'!#REF!),"")</f>
        <v>#REF!</v>
      </c>
      <c r="AL52" s="49" t="e">
        <f>IF(AND('Mapa final'!#REF!="Muy Baja",'Mapa final'!#REF!="Catastrófico"),CONCATENATE("R7C",'Mapa final'!#REF!),"")</f>
        <v>#REF!</v>
      </c>
      <c r="AM52" s="50" t="e">
        <f>IF(AND('Mapa final'!#REF!="Muy Baja",'Mapa final'!#REF!="Catastrófico"),CONCATENATE("R7C",'Mapa final'!#REF!),"")</f>
        <v>#REF!</v>
      </c>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row>
    <row r="53" spans="1:80" ht="15" customHeight="1" x14ac:dyDescent="0.25">
      <c r="A53" s="76"/>
      <c r="B53" s="445"/>
      <c r="C53" s="445"/>
      <c r="D53" s="446"/>
      <c r="E53" s="486"/>
      <c r="F53" s="487"/>
      <c r="G53" s="487"/>
      <c r="H53" s="487"/>
      <c r="I53" s="488"/>
      <c r="J53" s="69" t="e">
        <f>IF(AND('Mapa final'!#REF!="Muy Baja",'Mapa final'!#REF!="Leve"),CONCATENATE("R8C",'Mapa final'!#REF!),"")</f>
        <v>#REF!</v>
      </c>
      <c r="K53" s="70" t="e">
        <f>IF(AND('Mapa final'!#REF!="Muy Baja",'Mapa final'!#REF!="Leve"),CONCATENATE("R8C",'Mapa final'!#REF!),"")</f>
        <v>#REF!</v>
      </c>
      <c r="L53" s="70" t="e">
        <f>IF(AND('Mapa final'!#REF!="Muy Baja",'Mapa final'!#REF!="Leve"),CONCATENATE("R8C",'Mapa final'!#REF!),"")</f>
        <v>#REF!</v>
      </c>
      <c r="M53" s="70" t="e">
        <f>IF(AND('Mapa final'!#REF!="Muy Baja",'Mapa final'!#REF!="Leve"),CONCATENATE("R8C",'Mapa final'!#REF!),"")</f>
        <v>#REF!</v>
      </c>
      <c r="N53" s="70" t="e">
        <f>IF(AND('Mapa final'!#REF!="Muy Baja",'Mapa final'!#REF!="Leve"),CONCATENATE("R8C",'Mapa final'!#REF!),"")</f>
        <v>#REF!</v>
      </c>
      <c r="O53" s="71" t="e">
        <f>IF(AND('Mapa final'!#REF!="Muy Baja",'Mapa final'!#REF!="Leve"),CONCATENATE("R8C",'Mapa final'!#REF!),"")</f>
        <v>#REF!</v>
      </c>
      <c r="P53" s="69" t="e">
        <f>IF(AND('Mapa final'!#REF!="Muy Baja",'Mapa final'!#REF!="Menor"),CONCATENATE("R8C",'Mapa final'!#REF!),"")</f>
        <v>#REF!</v>
      </c>
      <c r="Q53" s="70" t="e">
        <f>IF(AND('Mapa final'!#REF!="Muy Baja",'Mapa final'!#REF!="Menor"),CONCATENATE("R8C",'Mapa final'!#REF!),"")</f>
        <v>#REF!</v>
      </c>
      <c r="R53" s="70" t="e">
        <f>IF(AND('Mapa final'!#REF!="Muy Baja",'Mapa final'!#REF!="Menor"),CONCATENATE("R8C",'Mapa final'!#REF!),"")</f>
        <v>#REF!</v>
      </c>
      <c r="S53" s="70" t="e">
        <f>IF(AND('Mapa final'!#REF!="Muy Baja",'Mapa final'!#REF!="Menor"),CONCATENATE("R8C",'Mapa final'!#REF!),"")</f>
        <v>#REF!</v>
      </c>
      <c r="T53" s="70" t="e">
        <f>IF(AND('Mapa final'!#REF!="Muy Baja",'Mapa final'!#REF!="Menor"),CONCATENATE("R8C",'Mapa final'!#REF!),"")</f>
        <v>#REF!</v>
      </c>
      <c r="U53" s="71" t="e">
        <f>IF(AND('Mapa final'!#REF!="Muy Baja",'Mapa final'!#REF!="Menor"),CONCATENATE("R8C",'Mapa final'!#REF!),"")</f>
        <v>#REF!</v>
      </c>
      <c r="V53" s="60" t="e">
        <f>IF(AND('Mapa final'!#REF!="Muy Baja",'Mapa final'!#REF!="Moderado"),CONCATENATE("R8C",'Mapa final'!#REF!),"")</f>
        <v>#REF!</v>
      </c>
      <c r="W53" s="61" t="e">
        <f>IF(AND('Mapa final'!#REF!="Muy Baja",'Mapa final'!#REF!="Moderado"),CONCATENATE("R8C",'Mapa final'!#REF!),"")</f>
        <v>#REF!</v>
      </c>
      <c r="X53" s="61" t="e">
        <f>IF(AND('Mapa final'!#REF!="Muy Baja",'Mapa final'!#REF!="Moderado"),CONCATENATE("R8C",'Mapa final'!#REF!),"")</f>
        <v>#REF!</v>
      </c>
      <c r="Y53" s="61" t="e">
        <f>IF(AND('Mapa final'!#REF!="Muy Baja",'Mapa final'!#REF!="Moderado"),CONCATENATE("R8C",'Mapa final'!#REF!),"")</f>
        <v>#REF!</v>
      </c>
      <c r="Z53" s="61" t="e">
        <f>IF(AND('Mapa final'!#REF!="Muy Baja",'Mapa final'!#REF!="Moderado"),CONCATENATE("R8C",'Mapa final'!#REF!),"")</f>
        <v>#REF!</v>
      </c>
      <c r="AA53" s="62" t="e">
        <f>IF(AND('Mapa final'!#REF!="Muy Baja",'Mapa final'!#REF!="Moderado"),CONCATENATE("R8C",'Mapa final'!#REF!),"")</f>
        <v>#REF!</v>
      </c>
      <c r="AB53" s="45" t="e">
        <f>IF(AND('Mapa final'!#REF!="Muy Baja",'Mapa final'!#REF!="Mayor"),CONCATENATE("R8C",'Mapa final'!#REF!),"")</f>
        <v>#REF!</v>
      </c>
      <c r="AC53" s="46" t="e">
        <f>IF(AND('Mapa final'!#REF!="Muy Baja",'Mapa final'!#REF!="Mayor"),CONCATENATE("R8C",'Mapa final'!#REF!),"")</f>
        <v>#REF!</v>
      </c>
      <c r="AD53" s="46" t="e">
        <f>IF(AND('Mapa final'!#REF!="Muy Baja",'Mapa final'!#REF!="Mayor"),CONCATENATE("R8C",'Mapa final'!#REF!),"")</f>
        <v>#REF!</v>
      </c>
      <c r="AE53" s="46" t="e">
        <f>IF(AND('Mapa final'!#REF!="Muy Baja",'Mapa final'!#REF!="Mayor"),CONCATENATE("R8C",'Mapa final'!#REF!),"")</f>
        <v>#REF!</v>
      </c>
      <c r="AF53" s="46" t="e">
        <f>IF(AND('Mapa final'!#REF!="Muy Baja",'Mapa final'!#REF!="Mayor"),CONCATENATE("R8C",'Mapa final'!#REF!),"")</f>
        <v>#REF!</v>
      </c>
      <c r="AG53" s="47" t="e">
        <f>IF(AND('Mapa final'!#REF!="Muy Baja",'Mapa final'!#REF!="Mayor"),CONCATENATE("R8C",'Mapa final'!#REF!),"")</f>
        <v>#REF!</v>
      </c>
      <c r="AH53" s="48" t="e">
        <f>IF(AND('Mapa final'!#REF!="Muy Baja",'Mapa final'!#REF!="Catastrófico"),CONCATENATE("R8C",'Mapa final'!#REF!),"")</f>
        <v>#REF!</v>
      </c>
      <c r="AI53" s="49" t="e">
        <f>IF(AND('Mapa final'!#REF!="Muy Baja",'Mapa final'!#REF!="Catastrófico"),CONCATENATE("R8C",'Mapa final'!#REF!),"")</f>
        <v>#REF!</v>
      </c>
      <c r="AJ53" s="49" t="e">
        <f>IF(AND('Mapa final'!#REF!="Muy Baja",'Mapa final'!#REF!="Catastrófico"),CONCATENATE("R8C",'Mapa final'!#REF!),"")</f>
        <v>#REF!</v>
      </c>
      <c r="AK53" s="49" t="e">
        <f>IF(AND('Mapa final'!#REF!="Muy Baja",'Mapa final'!#REF!="Catastrófico"),CONCATENATE("R8C",'Mapa final'!#REF!),"")</f>
        <v>#REF!</v>
      </c>
      <c r="AL53" s="49" t="e">
        <f>IF(AND('Mapa final'!#REF!="Muy Baja",'Mapa final'!#REF!="Catastrófico"),CONCATENATE("R8C",'Mapa final'!#REF!),"")</f>
        <v>#REF!</v>
      </c>
      <c r="AM53" s="50" t="e">
        <f>IF(AND('Mapa final'!#REF!="Muy Baja",'Mapa final'!#REF!="Catastrófico"),CONCATENATE("R8C",'Mapa final'!#REF!),"")</f>
        <v>#REF!</v>
      </c>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row>
    <row r="54" spans="1:80" ht="15" customHeight="1" x14ac:dyDescent="0.25">
      <c r="A54" s="76"/>
      <c r="B54" s="445"/>
      <c r="C54" s="445"/>
      <c r="D54" s="446"/>
      <c r="E54" s="486"/>
      <c r="F54" s="487"/>
      <c r="G54" s="487"/>
      <c r="H54" s="487"/>
      <c r="I54" s="488"/>
      <c r="J54" s="69" t="e">
        <f>IF(AND('Mapa final'!#REF!="Muy Baja",'Mapa final'!#REF!="Leve"),CONCATENATE("R9C",'Mapa final'!#REF!),"")</f>
        <v>#REF!</v>
      </c>
      <c r="K54" s="70" t="e">
        <f>IF(AND('Mapa final'!#REF!="Muy Baja",'Mapa final'!#REF!="Leve"),CONCATENATE("R9C",'Mapa final'!#REF!),"")</f>
        <v>#REF!</v>
      </c>
      <c r="L54" s="70" t="e">
        <f>IF(AND('Mapa final'!#REF!="Muy Baja",'Mapa final'!#REF!="Leve"),CONCATENATE("R9C",'Mapa final'!#REF!),"")</f>
        <v>#REF!</v>
      </c>
      <c r="M54" s="70" t="e">
        <f>IF(AND('Mapa final'!#REF!="Muy Baja",'Mapa final'!#REF!="Leve"),CONCATENATE("R9C",'Mapa final'!#REF!),"")</f>
        <v>#REF!</v>
      </c>
      <c r="N54" s="70" t="e">
        <f>IF(AND('Mapa final'!#REF!="Muy Baja",'Mapa final'!#REF!="Leve"),CONCATENATE("R9C",'Mapa final'!#REF!),"")</f>
        <v>#REF!</v>
      </c>
      <c r="O54" s="71" t="e">
        <f>IF(AND('Mapa final'!#REF!="Muy Baja",'Mapa final'!#REF!="Leve"),CONCATENATE("R9C",'Mapa final'!#REF!),"")</f>
        <v>#REF!</v>
      </c>
      <c r="P54" s="69" t="e">
        <f>IF(AND('Mapa final'!#REF!="Muy Baja",'Mapa final'!#REF!="Menor"),CONCATENATE("R9C",'Mapa final'!#REF!),"")</f>
        <v>#REF!</v>
      </c>
      <c r="Q54" s="70" t="e">
        <f>IF(AND('Mapa final'!#REF!="Muy Baja",'Mapa final'!#REF!="Menor"),CONCATENATE("R9C",'Mapa final'!#REF!),"")</f>
        <v>#REF!</v>
      </c>
      <c r="R54" s="70" t="e">
        <f>IF(AND('Mapa final'!#REF!="Muy Baja",'Mapa final'!#REF!="Menor"),CONCATENATE("R9C",'Mapa final'!#REF!),"")</f>
        <v>#REF!</v>
      </c>
      <c r="S54" s="70" t="e">
        <f>IF(AND('Mapa final'!#REF!="Muy Baja",'Mapa final'!#REF!="Menor"),CONCATENATE("R9C",'Mapa final'!#REF!),"")</f>
        <v>#REF!</v>
      </c>
      <c r="T54" s="70" t="e">
        <f>IF(AND('Mapa final'!#REF!="Muy Baja",'Mapa final'!#REF!="Menor"),CONCATENATE("R9C",'Mapa final'!#REF!),"")</f>
        <v>#REF!</v>
      </c>
      <c r="U54" s="71" t="e">
        <f>IF(AND('Mapa final'!#REF!="Muy Baja",'Mapa final'!#REF!="Menor"),CONCATENATE("R9C",'Mapa final'!#REF!),"")</f>
        <v>#REF!</v>
      </c>
      <c r="V54" s="60" t="e">
        <f>IF(AND('Mapa final'!#REF!="Muy Baja",'Mapa final'!#REF!="Moderado"),CONCATENATE("R9C",'Mapa final'!#REF!),"")</f>
        <v>#REF!</v>
      </c>
      <c r="W54" s="61" t="e">
        <f>IF(AND('Mapa final'!#REF!="Muy Baja",'Mapa final'!#REF!="Moderado"),CONCATENATE("R9C",'Mapa final'!#REF!),"")</f>
        <v>#REF!</v>
      </c>
      <c r="X54" s="61" t="e">
        <f>IF(AND('Mapa final'!#REF!="Muy Baja",'Mapa final'!#REF!="Moderado"),CONCATENATE("R9C",'Mapa final'!#REF!),"")</f>
        <v>#REF!</v>
      </c>
      <c r="Y54" s="61" t="e">
        <f>IF(AND('Mapa final'!#REF!="Muy Baja",'Mapa final'!#REF!="Moderado"),CONCATENATE("R9C",'Mapa final'!#REF!),"")</f>
        <v>#REF!</v>
      </c>
      <c r="Z54" s="61" t="e">
        <f>IF(AND('Mapa final'!#REF!="Muy Baja",'Mapa final'!#REF!="Moderado"),CONCATENATE("R9C",'Mapa final'!#REF!),"")</f>
        <v>#REF!</v>
      </c>
      <c r="AA54" s="62" t="e">
        <f>IF(AND('Mapa final'!#REF!="Muy Baja",'Mapa final'!#REF!="Moderado"),CONCATENATE("R9C",'Mapa final'!#REF!),"")</f>
        <v>#REF!</v>
      </c>
      <c r="AB54" s="45" t="e">
        <f>IF(AND('Mapa final'!#REF!="Muy Baja",'Mapa final'!#REF!="Mayor"),CONCATENATE("R9C",'Mapa final'!#REF!),"")</f>
        <v>#REF!</v>
      </c>
      <c r="AC54" s="46" t="e">
        <f>IF(AND('Mapa final'!#REF!="Muy Baja",'Mapa final'!#REF!="Mayor"),CONCATENATE("R9C",'Mapa final'!#REF!),"")</f>
        <v>#REF!</v>
      </c>
      <c r="AD54" s="46" t="e">
        <f>IF(AND('Mapa final'!#REF!="Muy Baja",'Mapa final'!#REF!="Mayor"),CONCATENATE("R9C",'Mapa final'!#REF!),"")</f>
        <v>#REF!</v>
      </c>
      <c r="AE54" s="46" t="e">
        <f>IF(AND('Mapa final'!#REF!="Muy Baja",'Mapa final'!#REF!="Mayor"),CONCATENATE("R9C",'Mapa final'!#REF!),"")</f>
        <v>#REF!</v>
      </c>
      <c r="AF54" s="46" t="e">
        <f>IF(AND('Mapa final'!#REF!="Muy Baja",'Mapa final'!#REF!="Mayor"),CONCATENATE("R9C",'Mapa final'!#REF!),"")</f>
        <v>#REF!</v>
      </c>
      <c r="AG54" s="47" t="e">
        <f>IF(AND('Mapa final'!#REF!="Muy Baja",'Mapa final'!#REF!="Mayor"),CONCATENATE("R9C",'Mapa final'!#REF!),"")</f>
        <v>#REF!</v>
      </c>
      <c r="AH54" s="48" t="e">
        <f>IF(AND('Mapa final'!#REF!="Muy Baja",'Mapa final'!#REF!="Catastrófico"),CONCATENATE("R9C",'Mapa final'!#REF!),"")</f>
        <v>#REF!</v>
      </c>
      <c r="AI54" s="49" t="e">
        <f>IF(AND('Mapa final'!#REF!="Muy Baja",'Mapa final'!#REF!="Catastrófico"),CONCATENATE("R9C",'Mapa final'!#REF!),"")</f>
        <v>#REF!</v>
      </c>
      <c r="AJ54" s="49" t="e">
        <f>IF(AND('Mapa final'!#REF!="Muy Baja",'Mapa final'!#REF!="Catastrófico"),CONCATENATE("R9C",'Mapa final'!#REF!),"")</f>
        <v>#REF!</v>
      </c>
      <c r="AK54" s="49" t="e">
        <f>IF(AND('Mapa final'!#REF!="Muy Baja",'Mapa final'!#REF!="Catastrófico"),CONCATENATE("R9C",'Mapa final'!#REF!),"")</f>
        <v>#REF!</v>
      </c>
      <c r="AL54" s="49" t="e">
        <f>IF(AND('Mapa final'!#REF!="Muy Baja",'Mapa final'!#REF!="Catastrófico"),CONCATENATE("R9C",'Mapa final'!#REF!),"")</f>
        <v>#REF!</v>
      </c>
      <c r="AM54" s="50" t="e">
        <f>IF(AND('Mapa final'!#REF!="Muy Baja",'Mapa final'!#REF!="Catastrófico"),CONCATENATE("R9C",'Mapa final'!#REF!),"")</f>
        <v>#REF!</v>
      </c>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row>
    <row r="55" spans="1:80" ht="15.75" customHeight="1" thickBot="1" x14ac:dyDescent="0.3">
      <c r="A55" s="76"/>
      <c r="B55" s="445"/>
      <c r="C55" s="445"/>
      <c r="D55" s="446"/>
      <c r="E55" s="489"/>
      <c r="F55" s="490"/>
      <c r="G55" s="490"/>
      <c r="H55" s="490"/>
      <c r="I55" s="491"/>
      <c r="J55" s="72" t="e">
        <f>IF(AND('Mapa final'!#REF!="Muy Baja",'Mapa final'!#REF!="Leve"),CONCATENATE("R10C",'Mapa final'!#REF!),"")</f>
        <v>#REF!</v>
      </c>
      <c r="K55" s="73" t="e">
        <f>IF(AND('Mapa final'!#REF!="Muy Baja",'Mapa final'!#REF!="Leve"),CONCATENATE("R10C",'Mapa final'!#REF!),"")</f>
        <v>#REF!</v>
      </c>
      <c r="L55" s="73" t="e">
        <f>IF(AND('Mapa final'!#REF!="Muy Baja",'Mapa final'!#REF!="Leve"),CONCATENATE("R10C",'Mapa final'!#REF!),"")</f>
        <v>#REF!</v>
      </c>
      <c r="M55" s="73" t="e">
        <f>IF(AND('Mapa final'!#REF!="Muy Baja",'Mapa final'!#REF!="Leve"),CONCATENATE("R10C",'Mapa final'!#REF!),"")</f>
        <v>#REF!</v>
      </c>
      <c r="N55" s="73" t="e">
        <f>IF(AND('Mapa final'!#REF!="Muy Baja",'Mapa final'!#REF!="Leve"),CONCATENATE("R10C",'Mapa final'!#REF!),"")</f>
        <v>#REF!</v>
      </c>
      <c r="O55" s="74" t="e">
        <f>IF(AND('Mapa final'!#REF!="Muy Baja",'Mapa final'!#REF!="Leve"),CONCATENATE("R10C",'Mapa final'!#REF!),"")</f>
        <v>#REF!</v>
      </c>
      <c r="P55" s="72" t="e">
        <f>IF(AND('Mapa final'!#REF!="Muy Baja",'Mapa final'!#REF!="Menor"),CONCATENATE("R10C",'Mapa final'!#REF!),"")</f>
        <v>#REF!</v>
      </c>
      <c r="Q55" s="73" t="e">
        <f>IF(AND('Mapa final'!#REF!="Muy Baja",'Mapa final'!#REF!="Menor"),CONCATENATE("R10C",'Mapa final'!#REF!),"")</f>
        <v>#REF!</v>
      </c>
      <c r="R55" s="73" t="e">
        <f>IF(AND('Mapa final'!#REF!="Muy Baja",'Mapa final'!#REF!="Menor"),CONCATENATE("R10C",'Mapa final'!#REF!),"")</f>
        <v>#REF!</v>
      </c>
      <c r="S55" s="73" t="e">
        <f>IF(AND('Mapa final'!#REF!="Muy Baja",'Mapa final'!#REF!="Menor"),CONCATENATE("R10C",'Mapa final'!#REF!),"")</f>
        <v>#REF!</v>
      </c>
      <c r="T55" s="73" t="e">
        <f>IF(AND('Mapa final'!#REF!="Muy Baja",'Mapa final'!#REF!="Menor"),CONCATENATE("R10C",'Mapa final'!#REF!),"")</f>
        <v>#REF!</v>
      </c>
      <c r="U55" s="74" t="e">
        <f>IF(AND('Mapa final'!#REF!="Muy Baja",'Mapa final'!#REF!="Menor"),CONCATENATE("R10C",'Mapa final'!#REF!),"")</f>
        <v>#REF!</v>
      </c>
      <c r="V55" s="63" t="e">
        <f>IF(AND('Mapa final'!#REF!="Muy Baja",'Mapa final'!#REF!="Moderado"),CONCATENATE("R10C",'Mapa final'!#REF!),"")</f>
        <v>#REF!</v>
      </c>
      <c r="W55" s="64" t="e">
        <f>IF(AND('Mapa final'!#REF!="Muy Baja",'Mapa final'!#REF!="Moderado"),CONCATENATE("R10C",'Mapa final'!#REF!),"")</f>
        <v>#REF!</v>
      </c>
      <c r="X55" s="64" t="e">
        <f>IF(AND('Mapa final'!#REF!="Muy Baja",'Mapa final'!#REF!="Moderado"),CONCATENATE("R10C",'Mapa final'!#REF!),"")</f>
        <v>#REF!</v>
      </c>
      <c r="Y55" s="64" t="e">
        <f>IF(AND('Mapa final'!#REF!="Muy Baja",'Mapa final'!#REF!="Moderado"),CONCATENATE("R10C",'Mapa final'!#REF!),"")</f>
        <v>#REF!</v>
      </c>
      <c r="Z55" s="64" t="e">
        <f>IF(AND('Mapa final'!#REF!="Muy Baja",'Mapa final'!#REF!="Moderado"),CONCATENATE("R10C",'Mapa final'!#REF!),"")</f>
        <v>#REF!</v>
      </c>
      <c r="AA55" s="65" t="e">
        <f>IF(AND('Mapa final'!#REF!="Muy Baja",'Mapa final'!#REF!="Moderado"),CONCATENATE("R10C",'Mapa final'!#REF!),"")</f>
        <v>#REF!</v>
      </c>
      <c r="AB55" s="51" t="e">
        <f>IF(AND('Mapa final'!#REF!="Muy Baja",'Mapa final'!#REF!="Mayor"),CONCATENATE("R10C",'Mapa final'!#REF!),"")</f>
        <v>#REF!</v>
      </c>
      <c r="AC55" s="52" t="e">
        <f>IF(AND('Mapa final'!#REF!="Muy Baja",'Mapa final'!#REF!="Mayor"),CONCATENATE("R10C",'Mapa final'!#REF!),"")</f>
        <v>#REF!</v>
      </c>
      <c r="AD55" s="52" t="e">
        <f>IF(AND('Mapa final'!#REF!="Muy Baja",'Mapa final'!#REF!="Mayor"),CONCATENATE("R10C",'Mapa final'!#REF!),"")</f>
        <v>#REF!</v>
      </c>
      <c r="AE55" s="52" t="e">
        <f>IF(AND('Mapa final'!#REF!="Muy Baja",'Mapa final'!#REF!="Mayor"),CONCATENATE("R10C",'Mapa final'!#REF!),"")</f>
        <v>#REF!</v>
      </c>
      <c r="AF55" s="52" t="e">
        <f>IF(AND('Mapa final'!#REF!="Muy Baja",'Mapa final'!#REF!="Mayor"),CONCATENATE("R10C",'Mapa final'!#REF!),"")</f>
        <v>#REF!</v>
      </c>
      <c r="AG55" s="53" t="e">
        <f>IF(AND('Mapa final'!#REF!="Muy Baja",'Mapa final'!#REF!="Mayor"),CONCATENATE("R10C",'Mapa final'!#REF!),"")</f>
        <v>#REF!</v>
      </c>
      <c r="AH55" s="54" t="e">
        <f>IF(AND('Mapa final'!#REF!="Muy Baja",'Mapa final'!#REF!="Catastrófico"),CONCATENATE("R10C",'Mapa final'!#REF!),"")</f>
        <v>#REF!</v>
      </c>
      <c r="AI55" s="55" t="e">
        <f>IF(AND('Mapa final'!#REF!="Muy Baja",'Mapa final'!#REF!="Catastrófico"),CONCATENATE("R10C",'Mapa final'!#REF!),"")</f>
        <v>#REF!</v>
      </c>
      <c r="AJ55" s="55" t="e">
        <f>IF(AND('Mapa final'!#REF!="Muy Baja",'Mapa final'!#REF!="Catastrófico"),CONCATENATE("R10C",'Mapa final'!#REF!),"")</f>
        <v>#REF!</v>
      </c>
      <c r="AK55" s="55" t="e">
        <f>IF(AND('Mapa final'!#REF!="Muy Baja",'Mapa final'!#REF!="Catastrófico"),CONCATENATE("R10C",'Mapa final'!#REF!),"")</f>
        <v>#REF!</v>
      </c>
      <c r="AL55" s="55" t="e">
        <f>IF(AND('Mapa final'!#REF!="Muy Baja",'Mapa final'!#REF!="Catastrófico"),CONCATENATE("R10C",'Mapa final'!#REF!),"")</f>
        <v>#REF!</v>
      </c>
      <c r="AM55" s="56" t="e">
        <f>IF(AND('Mapa final'!#REF!="Muy Baja",'Mapa final'!#REF!="Catastrófico"),CONCATENATE("R10C",'Mapa final'!#REF!),"")</f>
        <v>#REF!</v>
      </c>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row>
    <row r="56" spans="1:80" x14ac:dyDescent="0.25">
      <c r="A56" s="76"/>
      <c r="B56" s="76"/>
      <c r="C56" s="76"/>
      <c r="D56" s="76"/>
      <c r="E56" s="76"/>
      <c r="F56" s="76"/>
      <c r="G56" s="76"/>
      <c r="H56" s="76"/>
      <c r="I56" s="76"/>
      <c r="J56" s="483" t="s">
        <v>112</v>
      </c>
      <c r="K56" s="484"/>
      <c r="L56" s="484"/>
      <c r="M56" s="484"/>
      <c r="N56" s="484"/>
      <c r="O56" s="485"/>
      <c r="P56" s="483" t="s">
        <v>111</v>
      </c>
      <c r="Q56" s="484"/>
      <c r="R56" s="484"/>
      <c r="S56" s="484"/>
      <c r="T56" s="484"/>
      <c r="U56" s="485"/>
      <c r="V56" s="483" t="s">
        <v>110</v>
      </c>
      <c r="W56" s="484"/>
      <c r="X56" s="484"/>
      <c r="Y56" s="484"/>
      <c r="Z56" s="484"/>
      <c r="AA56" s="485"/>
      <c r="AB56" s="483" t="s">
        <v>109</v>
      </c>
      <c r="AC56" s="492"/>
      <c r="AD56" s="484"/>
      <c r="AE56" s="484"/>
      <c r="AF56" s="484"/>
      <c r="AG56" s="485"/>
      <c r="AH56" s="483" t="s">
        <v>108</v>
      </c>
      <c r="AI56" s="484"/>
      <c r="AJ56" s="484"/>
      <c r="AK56" s="484"/>
      <c r="AL56" s="484"/>
      <c r="AM56" s="485"/>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row>
    <row r="57" spans="1:80" x14ac:dyDescent="0.25">
      <c r="A57" s="76"/>
      <c r="B57" s="76"/>
      <c r="C57" s="76"/>
      <c r="D57" s="76"/>
      <c r="E57" s="76"/>
      <c r="F57" s="76"/>
      <c r="G57" s="76"/>
      <c r="H57" s="76"/>
      <c r="I57" s="76"/>
      <c r="J57" s="486"/>
      <c r="K57" s="487"/>
      <c r="L57" s="487"/>
      <c r="M57" s="487"/>
      <c r="N57" s="487"/>
      <c r="O57" s="488"/>
      <c r="P57" s="486"/>
      <c r="Q57" s="487"/>
      <c r="R57" s="487"/>
      <c r="S57" s="487"/>
      <c r="T57" s="487"/>
      <c r="U57" s="488"/>
      <c r="V57" s="486"/>
      <c r="W57" s="487"/>
      <c r="X57" s="487"/>
      <c r="Y57" s="487"/>
      <c r="Z57" s="487"/>
      <c r="AA57" s="488"/>
      <c r="AB57" s="486"/>
      <c r="AC57" s="487"/>
      <c r="AD57" s="487"/>
      <c r="AE57" s="487"/>
      <c r="AF57" s="487"/>
      <c r="AG57" s="488"/>
      <c r="AH57" s="486"/>
      <c r="AI57" s="487"/>
      <c r="AJ57" s="487"/>
      <c r="AK57" s="487"/>
      <c r="AL57" s="487"/>
      <c r="AM57" s="488"/>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row>
    <row r="58" spans="1:80" x14ac:dyDescent="0.25">
      <c r="A58" s="76"/>
      <c r="B58" s="76"/>
      <c r="C58" s="76"/>
      <c r="D58" s="76"/>
      <c r="E58" s="76"/>
      <c r="F58" s="76"/>
      <c r="G58" s="76"/>
      <c r="H58" s="76"/>
      <c r="I58" s="76"/>
      <c r="J58" s="486"/>
      <c r="K58" s="487"/>
      <c r="L58" s="487"/>
      <c r="M58" s="487"/>
      <c r="N58" s="487"/>
      <c r="O58" s="488"/>
      <c r="P58" s="486"/>
      <c r="Q58" s="487"/>
      <c r="R58" s="487"/>
      <c r="S58" s="487"/>
      <c r="T58" s="487"/>
      <c r="U58" s="488"/>
      <c r="V58" s="486"/>
      <c r="W58" s="487"/>
      <c r="X58" s="487"/>
      <c r="Y58" s="487"/>
      <c r="Z58" s="487"/>
      <c r="AA58" s="488"/>
      <c r="AB58" s="486"/>
      <c r="AC58" s="487"/>
      <c r="AD58" s="487"/>
      <c r="AE58" s="487"/>
      <c r="AF58" s="487"/>
      <c r="AG58" s="488"/>
      <c r="AH58" s="486"/>
      <c r="AI58" s="487"/>
      <c r="AJ58" s="487"/>
      <c r="AK58" s="487"/>
      <c r="AL58" s="487"/>
      <c r="AM58" s="488"/>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row>
    <row r="59" spans="1:80" x14ac:dyDescent="0.25">
      <c r="A59" s="76"/>
      <c r="B59" s="76"/>
      <c r="C59" s="76"/>
      <c r="D59" s="76"/>
      <c r="E59" s="76"/>
      <c r="F59" s="76"/>
      <c r="G59" s="76"/>
      <c r="H59" s="76"/>
      <c r="I59" s="76"/>
      <c r="J59" s="486"/>
      <c r="K59" s="487"/>
      <c r="L59" s="487"/>
      <c r="M59" s="487"/>
      <c r="N59" s="487"/>
      <c r="O59" s="488"/>
      <c r="P59" s="486"/>
      <c r="Q59" s="487"/>
      <c r="R59" s="487"/>
      <c r="S59" s="487"/>
      <c r="T59" s="487"/>
      <c r="U59" s="488"/>
      <c r="V59" s="486"/>
      <c r="W59" s="487"/>
      <c r="X59" s="487"/>
      <c r="Y59" s="487"/>
      <c r="Z59" s="487"/>
      <c r="AA59" s="488"/>
      <c r="AB59" s="486"/>
      <c r="AC59" s="487"/>
      <c r="AD59" s="487"/>
      <c r="AE59" s="487"/>
      <c r="AF59" s="487"/>
      <c r="AG59" s="488"/>
      <c r="AH59" s="486"/>
      <c r="AI59" s="487"/>
      <c r="AJ59" s="487"/>
      <c r="AK59" s="487"/>
      <c r="AL59" s="487"/>
      <c r="AM59" s="488"/>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row>
    <row r="60" spans="1:80" x14ac:dyDescent="0.25">
      <c r="A60" s="76"/>
      <c r="B60" s="76"/>
      <c r="C60" s="76"/>
      <c r="D60" s="76"/>
      <c r="E60" s="76"/>
      <c r="F60" s="76"/>
      <c r="G60" s="76"/>
      <c r="H60" s="76"/>
      <c r="I60" s="76"/>
      <c r="J60" s="486"/>
      <c r="K60" s="487"/>
      <c r="L60" s="487"/>
      <c r="M60" s="487"/>
      <c r="N60" s="487"/>
      <c r="O60" s="488"/>
      <c r="P60" s="486"/>
      <c r="Q60" s="487"/>
      <c r="R60" s="487"/>
      <c r="S60" s="487"/>
      <c r="T60" s="487"/>
      <c r="U60" s="488"/>
      <c r="V60" s="486"/>
      <c r="W60" s="487"/>
      <c r="X60" s="487"/>
      <c r="Y60" s="487"/>
      <c r="Z60" s="487"/>
      <c r="AA60" s="488"/>
      <c r="AB60" s="486"/>
      <c r="AC60" s="487"/>
      <c r="AD60" s="487"/>
      <c r="AE60" s="487"/>
      <c r="AF60" s="487"/>
      <c r="AG60" s="488"/>
      <c r="AH60" s="486"/>
      <c r="AI60" s="487"/>
      <c r="AJ60" s="487"/>
      <c r="AK60" s="487"/>
      <c r="AL60" s="487"/>
      <c r="AM60" s="488"/>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row>
    <row r="61" spans="1:80" ht="15.75" thickBot="1" x14ac:dyDescent="0.3">
      <c r="A61" s="76"/>
      <c r="B61" s="76"/>
      <c r="C61" s="76"/>
      <c r="D61" s="76"/>
      <c r="E61" s="76"/>
      <c r="F61" s="76"/>
      <c r="G61" s="76"/>
      <c r="H61" s="76"/>
      <c r="I61" s="76"/>
      <c r="J61" s="489"/>
      <c r="K61" s="490"/>
      <c r="L61" s="490"/>
      <c r="M61" s="490"/>
      <c r="N61" s="490"/>
      <c r="O61" s="491"/>
      <c r="P61" s="489"/>
      <c r="Q61" s="490"/>
      <c r="R61" s="490"/>
      <c r="S61" s="490"/>
      <c r="T61" s="490"/>
      <c r="U61" s="491"/>
      <c r="V61" s="489"/>
      <c r="W61" s="490"/>
      <c r="X61" s="490"/>
      <c r="Y61" s="490"/>
      <c r="Z61" s="490"/>
      <c r="AA61" s="491"/>
      <c r="AB61" s="489"/>
      <c r="AC61" s="490"/>
      <c r="AD61" s="490"/>
      <c r="AE61" s="490"/>
      <c r="AF61" s="490"/>
      <c r="AG61" s="491"/>
      <c r="AH61" s="489"/>
      <c r="AI61" s="490"/>
      <c r="AJ61" s="490"/>
      <c r="AK61" s="490"/>
      <c r="AL61" s="490"/>
      <c r="AM61" s="491"/>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row>
    <row r="62" spans="1:80" x14ac:dyDescent="0.25">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row>
    <row r="63" spans="1:80" ht="15" customHeight="1" x14ac:dyDescent="0.25">
      <c r="A63" s="76"/>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76"/>
      <c r="AV63" s="76"/>
      <c r="AW63" s="76"/>
      <c r="AX63" s="76"/>
      <c r="AY63" s="76"/>
      <c r="AZ63" s="76"/>
      <c r="BA63" s="76"/>
      <c r="BB63" s="76"/>
      <c r="BC63" s="76"/>
      <c r="BD63" s="76"/>
      <c r="BE63" s="76"/>
      <c r="BF63" s="76"/>
      <c r="BG63" s="76"/>
      <c r="BH63" s="76"/>
    </row>
    <row r="64" spans="1:80" ht="15" customHeight="1" x14ac:dyDescent="0.25">
      <c r="A64" s="76"/>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76"/>
      <c r="AV64" s="76"/>
      <c r="AW64" s="76"/>
      <c r="AX64" s="76"/>
      <c r="AY64" s="76"/>
      <c r="AZ64" s="76"/>
      <c r="BA64" s="76"/>
      <c r="BB64" s="76"/>
      <c r="BC64" s="76"/>
      <c r="BD64" s="76"/>
      <c r="BE64" s="76"/>
      <c r="BF64" s="76"/>
      <c r="BG64" s="76"/>
      <c r="BH64" s="76"/>
    </row>
    <row r="65" spans="1:60" x14ac:dyDescent="0.25">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row>
    <row r="66" spans="1:60" x14ac:dyDescent="0.25">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row>
    <row r="67" spans="1:60" x14ac:dyDescent="0.25">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row>
    <row r="68" spans="1:60" x14ac:dyDescent="0.25">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row>
    <row r="69" spans="1:60" x14ac:dyDescent="0.25">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row>
    <row r="70" spans="1:60" x14ac:dyDescent="0.25">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row>
    <row r="71" spans="1:60" x14ac:dyDescent="0.25">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row>
    <row r="72" spans="1:60" x14ac:dyDescent="0.25">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row>
    <row r="73" spans="1:60" x14ac:dyDescent="0.25">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row>
    <row r="74" spans="1:60" x14ac:dyDescent="0.25">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row>
    <row r="75" spans="1:60" x14ac:dyDescent="0.25">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row>
    <row r="76" spans="1:60" x14ac:dyDescent="0.25">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row>
    <row r="77" spans="1:60" x14ac:dyDescent="0.25">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row>
    <row r="78" spans="1:60" x14ac:dyDescent="0.25">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row>
    <row r="79" spans="1:60" x14ac:dyDescent="0.25">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row>
    <row r="80" spans="1:60" x14ac:dyDescent="0.25">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row>
    <row r="81" spans="1:60" x14ac:dyDescent="0.25">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row>
    <row r="82" spans="1:60" x14ac:dyDescent="0.25">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row>
    <row r="83" spans="1:60" x14ac:dyDescent="0.25">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row>
    <row r="84" spans="1:60" x14ac:dyDescent="0.25">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row>
    <row r="85" spans="1:60" x14ac:dyDescent="0.25">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row>
    <row r="86" spans="1:60" x14ac:dyDescent="0.25">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row>
    <row r="87" spans="1:60" x14ac:dyDescent="0.25">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row>
    <row r="88" spans="1:60" x14ac:dyDescent="0.25">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row>
    <row r="89" spans="1:60" x14ac:dyDescent="0.25">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row>
    <row r="90" spans="1:60" x14ac:dyDescent="0.25">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c r="BG90" s="76"/>
      <c r="BH90" s="76"/>
    </row>
    <row r="91" spans="1:60" x14ac:dyDescent="0.25">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row>
    <row r="92" spans="1:60" x14ac:dyDescent="0.25">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row>
    <row r="93" spans="1:60" x14ac:dyDescent="0.25">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row>
    <row r="94" spans="1:60" x14ac:dyDescent="0.25">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c r="BH94" s="76"/>
    </row>
    <row r="95" spans="1:60" x14ac:dyDescent="0.25">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row>
    <row r="96" spans="1:60" x14ac:dyDescent="0.25">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c r="BH96" s="76"/>
    </row>
    <row r="97" spans="1:60" x14ac:dyDescent="0.25">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row>
    <row r="98" spans="1:60" x14ac:dyDescent="0.25">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row>
    <row r="99" spans="1:60" x14ac:dyDescent="0.25">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c r="BG99" s="76"/>
      <c r="BH99" s="76"/>
    </row>
    <row r="100" spans="1:60" x14ac:dyDescent="0.25">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row>
    <row r="101" spans="1:60" x14ac:dyDescent="0.25">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row>
    <row r="102" spans="1:60" x14ac:dyDescent="0.25">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c r="BG102" s="76"/>
      <c r="BH102" s="76"/>
    </row>
    <row r="103" spans="1:60" x14ac:dyDescent="0.25">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row>
    <row r="104" spans="1:60" x14ac:dyDescent="0.25">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row>
    <row r="105" spans="1:60" x14ac:dyDescent="0.25">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row>
    <row r="106" spans="1:60" x14ac:dyDescent="0.25">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c r="BG106" s="76"/>
      <c r="BH106" s="76"/>
    </row>
    <row r="107" spans="1:60" x14ac:dyDescent="0.25">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76"/>
      <c r="AU107" s="76"/>
      <c r="AV107" s="76"/>
      <c r="AW107" s="76"/>
      <c r="AX107" s="76"/>
      <c r="AY107" s="76"/>
      <c r="AZ107" s="76"/>
      <c r="BA107" s="76"/>
      <c r="BB107" s="76"/>
      <c r="BC107" s="76"/>
      <c r="BD107" s="76"/>
      <c r="BE107" s="76"/>
      <c r="BF107" s="76"/>
      <c r="BG107" s="76"/>
      <c r="BH107" s="76"/>
    </row>
    <row r="108" spans="1:60" x14ac:dyDescent="0.25">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76"/>
      <c r="AZ108" s="76"/>
      <c r="BA108" s="76"/>
      <c r="BB108" s="76"/>
      <c r="BC108" s="76"/>
      <c r="BD108" s="76"/>
      <c r="BE108" s="76"/>
      <c r="BF108" s="76"/>
      <c r="BG108" s="76"/>
      <c r="BH108" s="76"/>
    </row>
    <row r="109" spans="1:60" x14ac:dyDescent="0.25">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76"/>
      <c r="BA109" s="76"/>
      <c r="BB109" s="76"/>
      <c r="BC109" s="76"/>
      <c r="BD109" s="76"/>
      <c r="BE109" s="76"/>
      <c r="BF109" s="76"/>
      <c r="BG109" s="76"/>
      <c r="BH109" s="76"/>
    </row>
    <row r="110" spans="1:60" x14ac:dyDescent="0.25">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6"/>
      <c r="AV110" s="76"/>
      <c r="AW110" s="76"/>
      <c r="AX110" s="76"/>
      <c r="AY110" s="76"/>
      <c r="AZ110" s="76"/>
      <c r="BA110" s="76"/>
      <c r="BB110" s="76"/>
      <c r="BC110" s="76"/>
      <c r="BD110" s="76"/>
      <c r="BE110" s="76"/>
      <c r="BF110" s="76"/>
      <c r="BG110" s="76"/>
      <c r="BH110" s="76"/>
    </row>
    <row r="111" spans="1:60" x14ac:dyDescent="0.25">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c r="BE111" s="76"/>
      <c r="BF111" s="76"/>
      <c r="BG111" s="76"/>
      <c r="BH111" s="76"/>
    </row>
    <row r="112" spans="1:60" x14ac:dyDescent="0.25">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c r="BC112" s="76"/>
      <c r="BD112" s="76"/>
      <c r="BE112" s="76"/>
      <c r="BF112" s="76"/>
      <c r="BG112" s="76"/>
      <c r="BH112" s="76"/>
    </row>
    <row r="113" spans="1:60" x14ac:dyDescent="0.25">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c r="AX113" s="76"/>
      <c r="AY113" s="76"/>
      <c r="AZ113" s="76"/>
      <c r="BA113" s="76"/>
      <c r="BB113" s="76"/>
      <c r="BC113" s="76"/>
      <c r="BD113" s="76"/>
      <c r="BE113" s="76"/>
      <c r="BF113" s="76"/>
      <c r="BG113" s="76"/>
      <c r="BH113" s="76"/>
    </row>
    <row r="114" spans="1:60" x14ac:dyDescent="0.25">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row>
    <row r="115" spans="1:60" x14ac:dyDescent="0.25">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c r="BE115" s="76"/>
      <c r="BF115" s="76"/>
      <c r="BG115" s="76"/>
      <c r="BH115" s="76"/>
    </row>
    <row r="116" spans="1:60" x14ac:dyDescent="0.25">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c r="AX116" s="76"/>
      <c r="AY116" s="76"/>
      <c r="AZ116" s="76"/>
      <c r="BA116" s="76"/>
      <c r="BB116" s="76"/>
      <c r="BC116" s="76"/>
      <c r="BD116" s="76"/>
      <c r="BE116" s="76"/>
      <c r="BF116" s="76"/>
      <c r="BG116" s="76"/>
      <c r="BH116" s="76"/>
    </row>
    <row r="117" spans="1:60" x14ac:dyDescent="0.25">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AY117" s="76"/>
      <c r="AZ117" s="76"/>
      <c r="BA117" s="76"/>
      <c r="BB117" s="76"/>
      <c r="BC117" s="76"/>
      <c r="BD117" s="76"/>
      <c r="BE117" s="76"/>
      <c r="BF117" s="76"/>
      <c r="BG117" s="76"/>
      <c r="BH117" s="76"/>
    </row>
    <row r="118" spans="1:60" x14ac:dyDescent="0.25">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c r="AX118" s="76"/>
      <c r="AY118" s="76"/>
      <c r="AZ118" s="76"/>
      <c r="BA118" s="76"/>
      <c r="BB118" s="76"/>
      <c r="BC118" s="76"/>
      <c r="BD118" s="76"/>
      <c r="BE118" s="76"/>
      <c r="BF118" s="76"/>
      <c r="BG118" s="76"/>
      <c r="BH118" s="76"/>
    </row>
    <row r="119" spans="1:60" x14ac:dyDescent="0.25">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row>
    <row r="120" spans="1:60" x14ac:dyDescent="0.25">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AY120" s="76"/>
      <c r="AZ120" s="76"/>
      <c r="BA120" s="76"/>
      <c r="BB120" s="76"/>
      <c r="BC120" s="76"/>
      <c r="BD120" s="76"/>
      <c r="BE120" s="76"/>
      <c r="BF120" s="76"/>
      <c r="BG120" s="76"/>
      <c r="BH120" s="76"/>
    </row>
    <row r="121" spans="1:60" x14ac:dyDescent="0.25">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row>
    <row r="122" spans="1:60" x14ac:dyDescent="0.25">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6"/>
      <c r="AZ122" s="76"/>
      <c r="BA122" s="76"/>
      <c r="BB122" s="76"/>
      <c r="BC122" s="76"/>
      <c r="BD122" s="76"/>
      <c r="BE122" s="76"/>
      <c r="BF122" s="76"/>
      <c r="BG122" s="76"/>
      <c r="BH122" s="76"/>
    </row>
    <row r="123" spans="1:60" x14ac:dyDescent="0.25">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6"/>
      <c r="AV123" s="76"/>
      <c r="AW123" s="76"/>
      <c r="AX123" s="76"/>
      <c r="AY123" s="76"/>
      <c r="AZ123" s="76"/>
      <c r="BA123" s="76"/>
      <c r="BB123" s="76"/>
      <c r="BC123" s="76"/>
      <c r="BD123" s="76"/>
      <c r="BE123" s="76"/>
      <c r="BF123" s="76"/>
      <c r="BG123" s="76"/>
      <c r="BH123" s="76"/>
    </row>
    <row r="124" spans="1:60" x14ac:dyDescent="0.25">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c r="AY124" s="76"/>
      <c r="AZ124" s="76"/>
      <c r="BA124" s="76"/>
      <c r="BB124" s="76"/>
      <c r="BC124" s="76"/>
      <c r="BD124" s="76"/>
      <c r="BE124" s="76"/>
      <c r="BF124" s="76"/>
      <c r="BG124" s="76"/>
      <c r="BH124" s="76"/>
    </row>
    <row r="125" spans="1:60" x14ac:dyDescent="0.25">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c r="AV125" s="76"/>
      <c r="AW125" s="76"/>
      <c r="AX125" s="76"/>
      <c r="AY125" s="76"/>
      <c r="AZ125" s="76"/>
      <c r="BA125" s="76"/>
      <c r="BB125" s="76"/>
      <c r="BC125" s="76"/>
      <c r="BD125" s="76"/>
      <c r="BE125" s="76"/>
      <c r="BF125" s="76"/>
      <c r="BG125" s="76"/>
      <c r="BH125" s="76"/>
    </row>
    <row r="126" spans="1:60" x14ac:dyDescent="0.25">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c r="AP126" s="76"/>
      <c r="AQ126" s="76"/>
      <c r="AR126" s="76"/>
      <c r="AS126" s="76"/>
      <c r="AT126" s="76"/>
      <c r="AU126" s="76"/>
      <c r="AV126" s="76"/>
      <c r="AW126" s="76"/>
      <c r="AX126" s="76"/>
      <c r="AY126" s="76"/>
      <c r="AZ126" s="76"/>
      <c r="BA126" s="76"/>
      <c r="BB126" s="76"/>
      <c r="BC126" s="76"/>
      <c r="BD126" s="76"/>
      <c r="BE126" s="76"/>
      <c r="BF126" s="76"/>
      <c r="BG126" s="76"/>
      <c r="BH126" s="76"/>
    </row>
    <row r="127" spans="1:60" x14ac:dyDescent="0.25">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6"/>
      <c r="AV127" s="76"/>
      <c r="AW127" s="76"/>
      <c r="AX127" s="76"/>
      <c r="AY127" s="76"/>
      <c r="AZ127" s="76"/>
      <c r="BA127" s="76"/>
      <c r="BB127" s="76"/>
      <c r="BC127" s="76"/>
      <c r="BD127" s="76"/>
      <c r="BE127" s="76"/>
      <c r="BF127" s="76"/>
      <c r="BG127" s="76"/>
      <c r="BH127" s="76"/>
    </row>
    <row r="128" spans="1:60" x14ac:dyDescent="0.25">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AY128" s="76"/>
      <c r="AZ128" s="76"/>
      <c r="BA128" s="76"/>
      <c r="BB128" s="76"/>
      <c r="BC128" s="76"/>
      <c r="BD128" s="76"/>
      <c r="BE128" s="76"/>
      <c r="BF128" s="76"/>
      <c r="BG128" s="76"/>
      <c r="BH128" s="76"/>
    </row>
    <row r="129" spans="1:60" x14ac:dyDescent="0.25">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c r="BF129" s="76"/>
      <c r="BG129" s="76"/>
      <c r="BH129" s="76"/>
    </row>
    <row r="130" spans="1:60" x14ac:dyDescent="0.25">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6"/>
      <c r="BE130" s="76"/>
      <c r="BF130" s="76"/>
      <c r="BG130" s="76"/>
      <c r="BH130" s="76"/>
    </row>
    <row r="131" spans="1:60" x14ac:dyDescent="0.25">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c r="BE131" s="76"/>
      <c r="BF131" s="76"/>
      <c r="BG131" s="76"/>
      <c r="BH131" s="76"/>
    </row>
    <row r="132" spans="1:60" x14ac:dyDescent="0.25">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c r="AN132" s="76"/>
      <c r="AO132" s="76"/>
      <c r="AP132" s="76"/>
      <c r="AQ132" s="76"/>
      <c r="AR132" s="76"/>
      <c r="AS132" s="76"/>
      <c r="AT132" s="76"/>
      <c r="AU132" s="76"/>
      <c r="AV132" s="76"/>
      <c r="AW132" s="76"/>
      <c r="AX132" s="76"/>
      <c r="AY132" s="76"/>
      <c r="AZ132" s="76"/>
      <c r="BA132" s="76"/>
      <c r="BB132" s="76"/>
      <c r="BC132" s="76"/>
      <c r="BD132" s="76"/>
      <c r="BE132" s="76"/>
      <c r="BF132" s="76"/>
      <c r="BG132" s="76"/>
      <c r="BH132" s="76"/>
    </row>
    <row r="133" spans="1:60" x14ac:dyDescent="0.25">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c r="BC133" s="76"/>
      <c r="BD133" s="76"/>
      <c r="BE133" s="76"/>
      <c r="BF133" s="76"/>
      <c r="BG133" s="76"/>
      <c r="BH133" s="76"/>
    </row>
    <row r="134" spans="1:60" x14ac:dyDescent="0.25">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6"/>
      <c r="AY134" s="76"/>
      <c r="AZ134" s="76"/>
      <c r="BA134" s="76"/>
      <c r="BB134" s="76"/>
      <c r="BC134" s="76"/>
      <c r="BD134" s="76"/>
      <c r="BE134" s="76"/>
      <c r="BF134" s="76"/>
      <c r="BG134" s="76"/>
      <c r="BH134" s="76"/>
    </row>
    <row r="135" spans="1:60" x14ac:dyDescent="0.25">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76"/>
      <c r="BF135" s="76"/>
      <c r="BG135" s="76"/>
      <c r="BH135" s="76"/>
    </row>
    <row r="136" spans="1:60" x14ac:dyDescent="0.25">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6"/>
      <c r="BB136" s="76"/>
      <c r="BC136" s="76"/>
      <c r="BD136" s="76"/>
      <c r="BE136" s="76"/>
      <c r="BF136" s="76"/>
      <c r="BG136" s="76"/>
      <c r="BH136" s="76"/>
    </row>
    <row r="137" spans="1:60" x14ac:dyDescent="0.25">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c r="AX137" s="76"/>
      <c r="AY137" s="76"/>
      <c r="AZ137" s="76"/>
      <c r="BA137" s="76"/>
      <c r="BB137" s="76"/>
      <c r="BC137" s="76"/>
      <c r="BD137" s="76"/>
      <c r="BE137" s="76"/>
      <c r="BF137" s="76"/>
      <c r="BG137" s="76"/>
      <c r="BH137" s="76"/>
    </row>
    <row r="138" spans="1:60" x14ac:dyDescent="0.25">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6"/>
      <c r="AM138" s="76"/>
      <c r="AN138" s="76"/>
      <c r="AO138" s="76"/>
      <c r="AP138" s="76"/>
      <c r="AQ138" s="76"/>
      <c r="AR138" s="76"/>
      <c r="AS138" s="76"/>
      <c r="AT138" s="76"/>
      <c r="AU138" s="76"/>
      <c r="AV138" s="76"/>
      <c r="AW138" s="76"/>
      <c r="AX138" s="76"/>
      <c r="AY138" s="76"/>
      <c r="AZ138" s="76"/>
      <c r="BA138" s="76"/>
      <c r="BB138" s="76"/>
      <c r="BC138" s="76"/>
      <c r="BD138" s="76"/>
      <c r="BE138" s="76"/>
      <c r="BF138" s="76"/>
      <c r="BG138" s="76"/>
      <c r="BH138" s="76"/>
    </row>
    <row r="139" spans="1:60" x14ac:dyDescent="0.25">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c r="AN139" s="76"/>
      <c r="AO139" s="76"/>
      <c r="AP139" s="76"/>
      <c r="AQ139" s="76"/>
      <c r="AR139" s="76"/>
      <c r="AS139" s="76"/>
      <c r="AT139" s="76"/>
      <c r="AU139" s="76"/>
      <c r="AV139" s="76"/>
      <c r="AW139" s="76"/>
      <c r="AX139" s="76"/>
      <c r="AY139" s="76"/>
      <c r="AZ139" s="76"/>
      <c r="BA139" s="76"/>
      <c r="BB139" s="76"/>
      <c r="BC139" s="76"/>
      <c r="BD139" s="76"/>
      <c r="BE139" s="76"/>
      <c r="BF139" s="76"/>
      <c r="BG139" s="76"/>
      <c r="BH139" s="76"/>
    </row>
    <row r="140" spans="1:60" x14ac:dyDescent="0.25">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6"/>
      <c r="BB140" s="76"/>
      <c r="BC140" s="76"/>
      <c r="BD140" s="76"/>
      <c r="BE140" s="76"/>
      <c r="BF140" s="76"/>
      <c r="BG140" s="76"/>
      <c r="BH140" s="76"/>
    </row>
    <row r="141" spans="1:60" x14ac:dyDescent="0.25">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6"/>
      <c r="AR141" s="76"/>
      <c r="AS141" s="76"/>
      <c r="AT141" s="76"/>
      <c r="AU141" s="76"/>
      <c r="AV141" s="76"/>
      <c r="AW141" s="76"/>
      <c r="AX141" s="76"/>
      <c r="AY141" s="76"/>
      <c r="AZ141" s="76"/>
      <c r="BA141" s="76"/>
      <c r="BB141" s="76"/>
      <c r="BC141" s="76"/>
      <c r="BD141" s="76"/>
      <c r="BE141" s="76"/>
      <c r="BF141" s="76"/>
      <c r="BG141" s="76"/>
      <c r="BH141" s="76"/>
    </row>
    <row r="142" spans="1:60" x14ac:dyDescent="0.25">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c r="AK142" s="76"/>
      <c r="AL142" s="76"/>
      <c r="AM142" s="76"/>
      <c r="AN142" s="76"/>
      <c r="AO142" s="76"/>
      <c r="AP142" s="76"/>
      <c r="AQ142" s="76"/>
      <c r="AR142" s="76"/>
      <c r="AS142" s="76"/>
      <c r="AT142" s="76"/>
      <c r="AU142" s="76"/>
      <c r="AV142" s="76"/>
      <c r="AW142" s="76"/>
      <c r="AX142" s="76"/>
      <c r="AY142" s="76"/>
      <c r="AZ142" s="76"/>
      <c r="BA142" s="76"/>
      <c r="BB142" s="76"/>
      <c r="BC142" s="76"/>
      <c r="BD142" s="76"/>
      <c r="BE142" s="76"/>
      <c r="BF142" s="76"/>
      <c r="BG142" s="76"/>
      <c r="BH142" s="76"/>
    </row>
    <row r="143" spans="1:60" x14ac:dyDescent="0.25">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c r="AX143" s="76"/>
      <c r="AY143" s="76"/>
      <c r="AZ143" s="76"/>
      <c r="BA143" s="76"/>
      <c r="BB143" s="76"/>
      <c r="BC143" s="76"/>
      <c r="BD143" s="76"/>
      <c r="BE143" s="76"/>
      <c r="BF143" s="76"/>
      <c r="BG143" s="76"/>
      <c r="BH143" s="76"/>
    </row>
    <row r="144" spans="1:60" x14ac:dyDescent="0.25">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c r="AN144" s="76"/>
      <c r="AO144" s="76"/>
      <c r="AP144" s="76"/>
      <c r="AQ144" s="76"/>
      <c r="AR144" s="76"/>
      <c r="AS144" s="76"/>
      <c r="AT144" s="76"/>
      <c r="AU144" s="76"/>
      <c r="AV144" s="76"/>
      <c r="AW144" s="76"/>
      <c r="AX144" s="76"/>
      <c r="AY144" s="76"/>
      <c r="AZ144" s="76"/>
      <c r="BA144" s="76"/>
      <c r="BB144" s="76"/>
      <c r="BC144" s="76"/>
      <c r="BD144" s="76"/>
      <c r="BE144" s="76"/>
      <c r="BF144" s="76"/>
      <c r="BG144" s="76"/>
      <c r="BH144" s="76"/>
    </row>
    <row r="145" spans="1:60" x14ac:dyDescent="0.25">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row>
    <row r="146" spans="1:60" x14ac:dyDescent="0.25">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76"/>
      <c r="AN146" s="76"/>
      <c r="AO146" s="76"/>
      <c r="AP146" s="76"/>
      <c r="AQ146" s="76"/>
      <c r="AR146" s="76"/>
      <c r="AS146" s="76"/>
      <c r="AT146" s="76"/>
      <c r="AU146" s="76"/>
      <c r="AV146" s="76"/>
      <c r="AW146" s="76"/>
      <c r="AX146" s="76"/>
      <c r="AY146" s="76"/>
      <c r="AZ146" s="76"/>
      <c r="BA146" s="76"/>
      <c r="BB146" s="76"/>
      <c r="BC146" s="76"/>
      <c r="BD146" s="76"/>
      <c r="BE146" s="76"/>
      <c r="BF146" s="76"/>
      <c r="BG146" s="76"/>
      <c r="BH146" s="76"/>
    </row>
    <row r="147" spans="1:60" x14ac:dyDescent="0.25">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76"/>
      <c r="BA147" s="76"/>
      <c r="BB147" s="76"/>
      <c r="BC147" s="76"/>
      <c r="BD147" s="76"/>
      <c r="BE147" s="76"/>
      <c r="BF147" s="76"/>
      <c r="BG147" s="76"/>
      <c r="BH147" s="76"/>
    </row>
    <row r="148" spans="1:60" x14ac:dyDescent="0.25">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c r="AL148" s="76"/>
      <c r="AM148" s="76"/>
      <c r="AN148" s="76"/>
      <c r="AO148" s="76"/>
      <c r="AP148" s="76"/>
      <c r="AQ148" s="76"/>
      <c r="AR148" s="76"/>
      <c r="AS148" s="76"/>
      <c r="AT148" s="76"/>
      <c r="AU148" s="76"/>
      <c r="AV148" s="76"/>
      <c r="AW148" s="76"/>
      <c r="AX148" s="76"/>
      <c r="AY148" s="76"/>
      <c r="AZ148" s="76"/>
      <c r="BA148" s="76"/>
      <c r="BB148" s="76"/>
      <c r="BC148" s="76"/>
      <c r="BD148" s="76"/>
      <c r="BE148" s="76"/>
      <c r="BF148" s="76"/>
      <c r="BG148" s="76"/>
      <c r="BH148" s="76"/>
    </row>
    <row r="149" spans="1:60" x14ac:dyDescent="0.25">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6"/>
      <c r="AV149" s="76"/>
      <c r="AW149" s="76"/>
      <c r="AX149" s="76"/>
      <c r="AY149" s="76"/>
      <c r="AZ149" s="76"/>
      <c r="BA149" s="76"/>
      <c r="BB149" s="76"/>
      <c r="BC149" s="76"/>
      <c r="BD149" s="76"/>
      <c r="BE149" s="76"/>
      <c r="BF149" s="76"/>
      <c r="BG149" s="76"/>
      <c r="BH149" s="76"/>
    </row>
    <row r="150" spans="1:60" x14ac:dyDescent="0.25">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6"/>
      <c r="BB150" s="76"/>
      <c r="BC150" s="76"/>
      <c r="BD150" s="76"/>
      <c r="BE150" s="76"/>
      <c r="BF150" s="76"/>
      <c r="BG150" s="76"/>
      <c r="BH150" s="76"/>
    </row>
    <row r="151" spans="1:60" x14ac:dyDescent="0.25">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c r="BE151" s="76"/>
      <c r="BF151" s="76"/>
      <c r="BG151" s="76"/>
      <c r="BH151" s="76"/>
    </row>
    <row r="152" spans="1:60" x14ac:dyDescent="0.25">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c r="BE152" s="76"/>
      <c r="BF152" s="76"/>
      <c r="BG152" s="76"/>
      <c r="BH152" s="76"/>
    </row>
    <row r="153" spans="1:60" x14ac:dyDescent="0.25">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6"/>
      <c r="AM153" s="76"/>
      <c r="AN153" s="76"/>
      <c r="AO153" s="76"/>
      <c r="AP153" s="76"/>
      <c r="AQ153" s="76"/>
      <c r="AR153" s="76"/>
      <c r="AS153" s="76"/>
      <c r="AT153" s="76"/>
      <c r="AU153" s="76"/>
      <c r="AV153" s="76"/>
      <c r="AW153" s="76"/>
      <c r="AX153" s="76"/>
      <c r="AY153" s="76"/>
      <c r="AZ153" s="76"/>
      <c r="BA153" s="76"/>
      <c r="BB153" s="76"/>
      <c r="BC153" s="76"/>
      <c r="BD153" s="76"/>
      <c r="BE153" s="76"/>
      <c r="BF153" s="76"/>
      <c r="BG153" s="76"/>
      <c r="BH153" s="76"/>
    </row>
    <row r="154" spans="1:60" x14ac:dyDescent="0.25">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6"/>
      <c r="AM154" s="76"/>
      <c r="AN154" s="76"/>
      <c r="AO154" s="76"/>
      <c r="AP154" s="76"/>
      <c r="AQ154" s="76"/>
      <c r="AR154" s="76"/>
      <c r="AS154" s="76"/>
      <c r="AT154" s="76"/>
      <c r="AU154" s="76"/>
      <c r="AV154" s="76"/>
      <c r="AW154" s="76"/>
      <c r="AX154" s="76"/>
      <c r="AY154" s="76"/>
      <c r="AZ154" s="76"/>
      <c r="BA154" s="76"/>
      <c r="BB154" s="76"/>
      <c r="BC154" s="76"/>
      <c r="BD154" s="76"/>
      <c r="BE154" s="76"/>
      <c r="BF154" s="76"/>
      <c r="BG154" s="76"/>
      <c r="BH154" s="76"/>
    </row>
    <row r="155" spans="1:60" x14ac:dyDescent="0.25">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6"/>
      <c r="AV155" s="76"/>
      <c r="AW155" s="76"/>
      <c r="AX155" s="76"/>
      <c r="AY155" s="76"/>
      <c r="AZ155" s="76"/>
      <c r="BA155" s="76"/>
      <c r="BB155" s="76"/>
      <c r="BC155" s="76"/>
      <c r="BD155" s="76"/>
      <c r="BE155" s="76"/>
      <c r="BF155" s="76"/>
      <c r="BG155" s="76"/>
      <c r="BH155" s="76"/>
    </row>
    <row r="156" spans="1:60" x14ac:dyDescent="0.25">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c r="AR156" s="76"/>
      <c r="AS156" s="76"/>
      <c r="AT156" s="76"/>
      <c r="AU156" s="76"/>
      <c r="AV156" s="76"/>
      <c r="AW156" s="76"/>
      <c r="AX156" s="76"/>
      <c r="AY156" s="76"/>
      <c r="AZ156" s="76"/>
      <c r="BA156" s="76"/>
      <c r="BB156" s="76"/>
      <c r="BC156" s="76"/>
      <c r="BD156" s="76"/>
      <c r="BE156" s="76"/>
      <c r="BF156" s="76"/>
      <c r="BG156" s="76"/>
      <c r="BH156" s="76"/>
    </row>
    <row r="157" spans="1:60" x14ac:dyDescent="0.25">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c r="AX157" s="76"/>
      <c r="AY157" s="76"/>
      <c r="AZ157" s="76"/>
      <c r="BA157" s="76"/>
      <c r="BB157" s="76"/>
      <c r="BC157" s="76"/>
      <c r="BD157" s="76"/>
      <c r="BE157" s="76"/>
      <c r="BF157" s="76"/>
      <c r="BG157" s="76"/>
      <c r="BH157" s="76"/>
    </row>
    <row r="158" spans="1:60" x14ac:dyDescent="0.25">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c r="AX158" s="76"/>
      <c r="AY158" s="76"/>
      <c r="AZ158" s="76"/>
      <c r="BA158" s="76"/>
      <c r="BB158" s="76"/>
      <c r="BC158" s="76"/>
      <c r="BD158" s="76"/>
      <c r="BE158" s="76"/>
      <c r="BF158" s="76"/>
      <c r="BG158" s="76"/>
      <c r="BH158" s="76"/>
    </row>
    <row r="159" spans="1:60" x14ac:dyDescent="0.25">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76"/>
      <c r="AS159" s="76"/>
      <c r="AT159" s="76"/>
      <c r="AU159" s="76"/>
      <c r="AV159" s="76"/>
      <c r="AW159" s="76"/>
      <c r="AX159" s="76"/>
      <c r="AY159" s="76"/>
      <c r="AZ159" s="76"/>
      <c r="BA159" s="76"/>
      <c r="BB159" s="76"/>
      <c r="BC159" s="76"/>
      <c r="BD159" s="76"/>
      <c r="BE159" s="76"/>
      <c r="BF159" s="76"/>
      <c r="BG159" s="76"/>
      <c r="BH159" s="76"/>
    </row>
    <row r="160" spans="1:60" x14ac:dyDescent="0.25">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76"/>
      <c r="AW160" s="76"/>
      <c r="AX160" s="76"/>
      <c r="AY160" s="76"/>
      <c r="AZ160" s="76"/>
      <c r="BA160" s="76"/>
      <c r="BB160" s="76"/>
      <c r="BC160" s="76"/>
      <c r="BD160" s="76"/>
      <c r="BE160" s="76"/>
      <c r="BF160" s="76"/>
      <c r="BG160" s="76"/>
      <c r="BH160" s="76"/>
    </row>
    <row r="161" spans="1:60" x14ac:dyDescent="0.25">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6"/>
      <c r="AV161" s="76"/>
      <c r="AW161" s="76"/>
      <c r="AX161" s="76"/>
      <c r="AY161" s="76"/>
      <c r="AZ161" s="76"/>
      <c r="BA161" s="76"/>
      <c r="BB161" s="76"/>
      <c r="BC161" s="76"/>
      <c r="BD161" s="76"/>
      <c r="BE161" s="76"/>
      <c r="BF161" s="76"/>
      <c r="BG161" s="76"/>
      <c r="BH161" s="76"/>
    </row>
    <row r="162" spans="1:60" x14ac:dyDescent="0.25">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c r="AO162" s="76"/>
      <c r="AP162" s="76"/>
      <c r="AQ162" s="76"/>
      <c r="AR162" s="76"/>
      <c r="AS162" s="76"/>
      <c r="AT162" s="76"/>
      <c r="AU162" s="76"/>
      <c r="AV162" s="76"/>
      <c r="AW162" s="76"/>
      <c r="AX162" s="76"/>
      <c r="AY162" s="76"/>
      <c r="AZ162" s="76"/>
      <c r="BA162" s="76"/>
      <c r="BB162" s="76"/>
      <c r="BC162" s="76"/>
      <c r="BD162" s="76"/>
      <c r="BE162" s="76"/>
      <c r="BF162" s="76"/>
      <c r="BG162" s="76"/>
      <c r="BH162" s="76"/>
    </row>
    <row r="163" spans="1:60" x14ac:dyDescent="0.25">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c r="AN163" s="76"/>
      <c r="AO163" s="76"/>
      <c r="AP163" s="76"/>
      <c r="AQ163" s="76"/>
      <c r="AR163" s="76"/>
      <c r="AS163" s="76"/>
      <c r="AT163" s="76"/>
      <c r="AU163" s="76"/>
      <c r="AV163" s="76"/>
      <c r="AW163" s="76"/>
      <c r="AX163" s="76"/>
      <c r="AY163" s="76"/>
      <c r="AZ163" s="76"/>
      <c r="BA163" s="76"/>
      <c r="BB163" s="76"/>
      <c r="BC163" s="76"/>
      <c r="BD163" s="76"/>
      <c r="BE163" s="76"/>
      <c r="BF163" s="76"/>
      <c r="BG163" s="76"/>
      <c r="BH163" s="76"/>
    </row>
    <row r="164" spans="1:60" x14ac:dyDescent="0.25">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76"/>
      <c r="AS164" s="76"/>
      <c r="AT164" s="76"/>
      <c r="AU164" s="76"/>
      <c r="AV164" s="76"/>
      <c r="AW164" s="76"/>
      <c r="AX164" s="76"/>
      <c r="AY164" s="76"/>
      <c r="AZ164" s="76"/>
      <c r="BA164" s="76"/>
      <c r="BB164" s="76"/>
      <c r="BC164" s="76"/>
      <c r="BD164" s="76"/>
      <c r="BE164" s="76"/>
      <c r="BF164" s="76"/>
      <c r="BG164" s="76"/>
      <c r="BH164" s="76"/>
    </row>
    <row r="165" spans="1:60" x14ac:dyDescent="0.25">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c r="AV165" s="76"/>
      <c r="AW165" s="76"/>
      <c r="AX165" s="76"/>
      <c r="AY165" s="76"/>
      <c r="AZ165" s="76"/>
      <c r="BA165" s="76"/>
      <c r="BB165" s="76"/>
      <c r="BC165" s="76"/>
      <c r="BD165" s="76"/>
      <c r="BE165" s="76"/>
      <c r="BF165" s="76"/>
      <c r="BG165" s="76"/>
      <c r="BH165" s="76"/>
    </row>
    <row r="166" spans="1:60" x14ac:dyDescent="0.25">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c r="AJ166" s="76"/>
      <c r="AK166" s="76"/>
      <c r="AL166" s="76"/>
      <c r="AM166" s="76"/>
      <c r="AN166" s="76"/>
      <c r="AO166" s="76"/>
      <c r="AP166" s="76"/>
      <c r="AQ166" s="76"/>
      <c r="AR166" s="76"/>
      <c r="AS166" s="76"/>
      <c r="AT166" s="76"/>
      <c r="AU166" s="76"/>
      <c r="AV166" s="76"/>
      <c r="AW166" s="76"/>
      <c r="AX166" s="76"/>
      <c r="AY166" s="76"/>
      <c r="AZ166" s="76"/>
      <c r="BA166" s="76"/>
      <c r="BB166" s="76"/>
      <c r="BC166" s="76"/>
      <c r="BD166" s="76"/>
      <c r="BE166" s="76"/>
      <c r="BF166" s="76"/>
      <c r="BG166" s="76"/>
      <c r="BH166" s="76"/>
    </row>
    <row r="167" spans="1:60" x14ac:dyDescent="0.25">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c r="AV167" s="76"/>
      <c r="AW167" s="76"/>
      <c r="AX167" s="76"/>
      <c r="AY167" s="76"/>
      <c r="AZ167" s="76"/>
      <c r="BA167" s="76"/>
      <c r="BB167" s="76"/>
      <c r="BC167" s="76"/>
      <c r="BD167" s="76"/>
      <c r="BE167" s="76"/>
      <c r="BF167" s="76"/>
      <c r="BG167" s="76"/>
      <c r="BH167" s="76"/>
    </row>
    <row r="168" spans="1:60" x14ac:dyDescent="0.25">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6"/>
      <c r="AV168" s="76"/>
      <c r="AW168" s="76"/>
      <c r="AX168" s="76"/>
      <c r="AY168" s="76"/>
      <c r="AZ168" s="76"/>
      <c r="BA168" s="76"/>
      <c r="BB168" s="76"/>
      <c r="BC168" s="76"/>
      <c r="BD168" s="76"/>
      <c r="BE168" s="76"/>
      <c r="BF168" s="76"/>
      <c r="BG168" s="76"/>
      <c r="BH168" s="76"/>
    </row>
    <row r="169" spans="1:60" x14ac:dyDescent="0.25">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row>
    <row r="170" spans="1:60" x14ac:dyDescent="0.25">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6"/>
      <c r="AM170" s="76"/>
      <c r="AN170" s="76"/>
      <c r="AO170" s="76"/>
      <c r="AP170" s="76"/>
      <c r="AQ170" s="76"/>
      <c r="AR170" s="76"/>
      <c r="AS170" s="76"/>
      <c r="AT170" s="76"/>
      <c r="AU170" s="76"/>
      <c r="AV170" s="76"/>
      <c r="AW170" s="76"/>
      <c r="AX170" s="76"/>
      <c r="AY170" s="76"/>
      <c r="AZ170" s="76"/>
      <c r="BA170" s="76"/>
      <c r="BB170" s="76"/>
      <c r="BC170" s="76"/>
      <c r="BD170" s="76"/>
      <c r="BE170" s="76"/>
      <c r="BF170" s="76"/>
      <c r="BG170" s="76"/>
      <c r="BH170" s="76"/>
    </row>
    <row r="171" spans="1:60" x14ac:dyDescent="0.25">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6"/>
      <c r="AJ171" s="76"/>
      <c r="AK171" s="76"/>
      <c r="AL171" s="76"/>
      <c r="AM171" s="76"/>
      <c r="AN171" s="76"/>
      <c r="AO171" s="76"/>
      <c r="AP171" s="76"/>
      <c r="AQ171" s="76"/>
      <c r="AR171" s="76"/>
      <c r="AS171" s="76"/>
      <c r="AT171" s="76"/>
      <c r="AU171" s="76"/>
      <c r="AV171" s="76"/>
      <c r="AW171" s="76"/>
      <c r="AX171" s="76"/>
      <c r="AY171" s="76"/>
      <c r="AZ171" s="76"/>
      <c r="BA171" s="76"/>
      <c r="BB171" s="76"/>
      <c r="BC171" s="76"/>
      <c r="BD171" s="76"/>
      <c r="BE171" s="76"/>
      <c r="BF171" s="76"/>
      <c r="BG171" s="76"/>
      <c r="BH171" s="76"/>
    </row>
    <row r="172" spans="1:60" x14ac:dyDescent="0.25">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6"/>
      <c r="AK172" s="76"/>
      <c r="AL172" s="76"/>
      <c r="AM172" s="76"/>
      <c r="AN172" s="76"/>
      <c r="AO172" s="76"/>
      <c r="AP172" s="76"/>
      <c r="AQ172" s="76"/>
      <c r="AR172" s="76"/>
      <c r="AS172" s="76"/>
      <c r="AT172" s="76"/>
      <c r="AU172" s="76"/>
      <c r="AV172" s="76"/>
      <c r="AW172" s="76"/>
      <c r="AX172" s="76"/>
      <c r="AY172" s="76"/>
      <c r="AZ172" s="76"/>
      <c r="BA172" s="76"/>
      <c r="BB172" s="76"/>
      <c r="BC172" s="76"/>
      <c r="BD172" s="76"/>
      <c r="BE172" s="76"/>
      <c r="BF172" s="76"/>
      <c r="BG172" s="76"/>
      <c r="BH172" s="76"/>
    </row>
    <row r="173" spans="1:60" x14ac:dyDescent="0.25">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6"/>
      <c r="AP173" s="76"/>
      <c r="AQ173" s="76"/>
      <c r="AR173" s="76"/>
      <c r="AS173" s="76"/>
      <c r="AT173" s="76"/>
      <c r="AU173" s="76"/>
      <c r="AV173" s="76"/>
      <c r="AW173" s="76"/>
      <c r="AX173" s="76"/>
      <c r="AY173" s="76"/>
      <c r="AZ173" s="76"/>
      <c r="BA173" s="76"/>
      <c r="BB173" s="76"/>
      <c r="BC173" s="76"/>
      <c r="BD173" s="76"/>
      <c r="BE173" s="76"/>
      <c r="BF173" s="76"/>
      <c r="BG173" s="76"/>
      <c r="BH173" s="76"/>
    </row>
    <row r="174" spans="1:60" x14ac:dyDescent="0.25">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76"/>
      <c r="AW174" s="76"/>
      <c r="AX174" s="76"/>
      <c r="AY174" s="76"/>
      <c r="AZ174" s="76"/>
      <c r="BA174" s="76"/>
      <c r="BB174" s="76"/>
      <c r="BC174" s="76"/>
      <c r="BD174" s="76"/>
      <c r="BE174" s="76"/>
      <c r="BF174" s="76"/>
      <c r="BG174" s="76"/>
      <c r="BH174" s="76"/>
    </row>
    <row r="175" spans="1:60" x14ac:dyDescent="0.25">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AK175" s="76"/>
      <c r="AL175" s="76"/>
      <c r="AM175" s="76"/>
      <c r="AN175" s="76"/>
      <c r="AO175" s="76"/>
      <c r="AP175" s="76"/>
      <c r="AQ175" s="76"/>
      <c r="AR175" s="76"/>
      <c r="AS175" s="76"/>
      <c r="AT175" s="76"/>
      <c r="AU175" s="76"/>
      <c r="AV175" s="76"/>
      <c r="AW175" s="76"/>
      <c r="AX175" s="76"/>
      <c r="AY175" s="76"/>
      <c r="AZ175" s="76"/>
      <c r="BA175" s="76"/>
      <c r="BB175" s="76"/>
      <c r="BC175" s="76"/>
      <c r="BD175" s="76"/>
      <c r="BE175" s="76"/>
      <c r="BF175" s="76"/>
      <c r="BG175" s="76"/>
      <c r="BH175" s="76"/>
    </row>
    <row r="176" spans="1:60" x14ac:dyDescent="0.25">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c r="AK176" s="76"/>
      <c r="AL176" s="76"/>
      <c r="AM176" s="76"/>
      <c r="AN176" s="76"/>
      <c r="AO176" s="76"/>
      <c r="AP176" s="76"/>
      <c r="AQ176" s="76"/>
      <c r="AR176" s="76"/>
      <c r="AS176" s="76"/>
      <c r="AT176" s="76"/>
      <c r="AU176" s="76"/>
      <c r="AV176" s="76"/>
      <c r="AW176" s="76"/>
      <c r="AX176" s="76"/>
      <c r="AY176" s="76"/>
      <c r="AZ176" s="76"/>
      <c r="BA176" s="76"/>
      <c r="BB176" s="76"/>
      <c r="BC176" s="76"/>
      <c r="BD176" s="76"/>
      <c r="BE176" s="76"/>
      <c r="BF176" s="76"/>
      <c r="BG176" s="76"/>
      <c r="BH176" s="76"/>
    </row>
    <row r="177" spans="1:60" x14ac:dyDescent="0.25">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c r="AI177" s="76"/>
      <c r="AJ177" s="76"/>
      <c r="AK177" s="76"/>
      <c r="AL177" s="76"/>
      <c r="AM177" s="76"/>
      <c r="AN177" s="76"/>
      <c r="AO177" s="76"/>
      <c r="AP177" s="76"/>
      <c r="AQ177" s="76"/>
      <c r="AR177" s="76"/>
      <c r="AS177" s="76"/>
      <c r="AT177" s="76"/>
      <c r="AU177" s="76"/>
      <c r="AV177" s="76"/>
      <c r="AW177" s="76"/>
      <c r="AX177" s="76"/>
      <c r="AY177" s="76"/>
      <c r="AZ177" s="76"/>
      <c r="BA177" s="76"/>
      <c r="BB177" s="76"/>
      <c r="BC177" s="76"/>
      <c r="BD177" s="76"/>
      <c r="BE177" s="76"/>
      <c r="BF177" s="76"/>
      <c r="BG177" s="76"/>
      <c r="BH177" s="76"/>
    </row>
    <row r="178" spans="1:60" x14ac:dyDescent="0.25">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6"/>
      <c r="AY178" s="76"/>
      <c r="AZ178" s="76"/>
      <c r="BA178" s="76"/>
      <c r="BB178" s="76"/>
      <c r="BC178" s="76"/>
      <c r="BD178" s="76"/>
      <c r="BE178" s="76"/>
      <c r="BF178" s="76"/>
      <c r="BG178" s="76"/>
      <c r="BH178" s="76"/>
    </row>
    <row r="179" spans="1:60" x14ac:dyDescent="0.25">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c r="AI179" s="76"/>
      <c r="AJ179" s="76"/>
      <c r="AK179" s="76"/>
      <c r="AL179" s="76"/>
      <c r="AM179" s="76"/>
      <c r="AN179" s="76"/>
      <c r="AO179" s="76"/>
      <c r="AP179" s="76"/>
      <c r="AQ179" s="76"/>
      <c r="AR179" s="76"/>
      <c r="AS179" s="76"/>
      <c r="AT179" s="76"/>
      <c r="AU179" s="76"/>
      <c r="AV179" s="76"/>
      <c r="AW179" s="76"/>
      <c r="AX179" s="76"/>
      <c r="AY179" s="76"/>
      <c r="AZ179" s="76"/>
      <c r="BA179" s="76"/>
      <c r="BB179" s="76"/>
      <c r="BC179" s="76"/>
      <c r="BD179" s="76"/>
      <c r="BE179" s="76"/>
      <c r="BF179" s="76"/>
      <c r="BG179" s="76"/>
      <c r="BH179" s="76"/>
    </row>
    <row r="180" spans="1:60" x14ac:dyDescent="0.25">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6"/>
      <c r="AN180" s="76"/>
      <c r="AO180" s="76"/>
      <c r="AP180" s="76"/>
      <c r="AQ180" s="76"/>
      <c r="AR180" s="76"/>
      <c r="AS180" s="76"/>
      <c r="AT180" s="76"/>
      <c r="AU180" s="76"/>
      <c r="AV180" s="76"/>
      <c r="AW180" s="76"/>
      <c r="AX180" s="76"/>
      <c r="AY180" s="76"/>
      <c r="AZ180" s="76"/>
      <c r="BA180" s="76"/>
      <c r="BB180" s="76"/>
      <c r="BC180" s="76"/>
      <c r="BD180" s="76"/>
      <c r="BE180" s="76"/>
      <c r="BF180" s="76"/>
      <c r="BG180" s="76"/>
      <c r="BH180" s="76"/>
    </row>
    <row r="181" spans="1:60" x14ac:dyDescent="0.25">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c r="AX181" s="76"/>
      <c r="AY181" s="76"/>
      <c r="AZ181" s="76"/>
      <c r="BA181" s="76"/>
      <c r="BB181" s="76"/>
      <c r="BC181" s="76"/>
      <c r="BD181" s="76"/>
      <c r="BE181" s="76"/>
      <c r="BF181" s="76"/>
      <c r="BG181" s="76"/>
      <c r="BH181" s="76"/>
    </row>
    <row r="182" spans="1:60" x14ac:dyDescent="0.25">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c r="AN182" s="76"/>
      <c r="AO182" s="76"/>
      <c r="AP182" s="76"/>
      <c r="AQ182" s="76"/>
      <c r="AR182" s="76"/>
      <c r="AS182" s="76"/>
      <c r="AT182" s="76"/>
      <c r="AU182" s="76"/>
      <c r="AV182" s="76"/>
      <c r="AW182" s="76"/>
      <c r="AX182" s="76"/>
      <c r="AY182" s="76"/>
      <c r="AZ182" s="76"/>
      <c r="BA182" s="76"/>
      <c r="BB182" s="76"/>
      <c r="BC182" s="76"/>
      <c r="BD182" s="76"/>
      <c r="BE182" s="76"/>
      <c r="BF182" s="76"/>
      <c r="BG182" s="76"/>
      <c r="BH182" s="76"/>
    </row>
    <row r="183" spans="1:60" x14ac:dyDescent="0.25">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c r="AJ183" s="76"/>
      <c r="AK183" s="76"/>
      <c r="AL183" s="76"/>
      <c r="AM183" s="76"/>
      <c r="AN183" s="76"/>
      <c r="AO183" s="76"/>
      <c r="AP183" s="76"/>
      <c r="AQ183" s="76"/>
      <c r="AR183" s="76"/>
      <c r="AS183" s="76"/>
      <c r="AT183" s="76"/>
      <c r="AU183" s="76"/>
      <c r="AV183" s="76"/>
      <c r="AW183" s="76"/>
      <c r="AX183" s="76"/>
      <c r="AY183" s="76"/>
      <c r="AZ183" s="76"/>
      <c r="BA183" s="76"/>
      <c r="BB183" s="76"/>
      <c r="BC183" s="76"/>
      <c r="BD183" s="76"/>
      <c r="BE183" s="76"/>
      <c r="BF183" s="76"/>
      <c r="BG183" s="76"/>
      <c r="BH183" s="76"/>
    </row>
    <row r="184" spans="1:60" x14ac:dyDescent="0.25">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c r="AI184" s="76"/>
      <c r="AJ184" s="76"/>
      <c r="AK184" s="76"/>
      <c r="AL184" s="76"/>
      <c r="AM184" s="76"/>
      <c r="AN184" s="76"/>
      <c r="AO184" s="76"/>
      <c r="AP184" s="76"/>
      <c r="AQ184" s="76"/>
      <c r="AR184" s="76"/>
      <c r="AS184" s="76"/>
      <c r="AT184" s="76"/>
      <c r="AU184" s="76"/>
      <c r="AV184" s="76"/>
      <c r="AW184" s="76"/>
      <c r="AX184" s="76"/>
      <c r="AY184" s="76"/>
      <c r="AZ184" s="76"/>
      <c r="BA184" s="76"/>
      <c r="BB184" s="76"/>
      <c r="BC184" s="76"/>
      <c r="BD184" s="76"/>
      <c r="BE184" s="76"/>
      <c r="BF184" s="76"/>
      <c r="BG184" s="76"/>
      <c r="BH184" s="76"/>
    </row>
    <row r="185" spans="1:60" x14ac:dyDescent="0.25">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c r="AI185" s="76"/>
      <c r="AJ185" s="76"/>
      <c r="AK185" s="76"/>
      <c r="AL185" s="76"/>
      <c r="AM185" s="76"/>
      <c r="AN185" s="76"/>
      <c r="AO185" s="76"/>
      <c r="AP185" s="76"/>
      <c r="AQ185" s="76"/>
      <c r="AR185" s="76"/>
      <c r="AS185" s="76"/>
      <c r="AT185" s="76"/>
      <c r="AU185" s="76"/>
      <c r="AV185" s="76"/>
      <c r="AW185" s="76"/>
      <c r="AX185" s="76"/>
      <c r="AY185" s="76"/>
      <c r="AZ185" s="76"/>
      <c r="BA185" s="76"/>
      <c r="BB185" s="76"/>
      <c r="BC185" s="76"/>
      <c r="BD185" s="76"/>
      <c r="BE185" s="76"/>
      <c r="BF185" s="76"/>
      <c r="BG185" s="76"/>
      <c r="BH185" s="76"/>
    </row>
    <row r="186" spans="1:60" x14ac:dyDescent="0.25">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c r="AF186" s="76"/>
      <c r="AG186" s="76"/>
      <c r="AH186" s="76"/>
      <c r="AI186" s="76"/>
      <c r="AJ186" s="76"/>
      <c r="AK186" s="76"/>
      <c r="AL186" s="76"/>
      <c r="AM186" s="76"/>
      <c r="AN186" s="76"/>
      <c r="AO186" s="76"/>
      <c r="AP186" s="76"/>
      <c r="AQ186" s="76"/>
      <c r="AR186" s="76"/>
      <c r="AS186" s="76"/>
      <c r="AT186" s="76"/>
      <c r="AU186" s="76"/>
      <c r="AV186" s="76"/>
      <c r="AW186" s="76"/>
      <c r="AX186" s="76"/>
      <c r="AY186" s="76"/>
      <c r="AZ186" s="76"/>
      <c r="BA186" s="76"/>
      <c r="BB186" s="76"/>
      <c r="BC186" s="76"/>
      <c r="BD186" s="76"/>
      <c r="BE186" s="76"/>
      <c r="BF186" s="76"/>
      <c r="BG186" s="76"/>
      <c r="BH186" s="76"/>
    </row>
    <row r="187" spans="1:60" x14ac:dyDescent="0.25">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AK187" s="76"/>
      <c r="AL187" s="76"/>
      <c r="AM187" s="76"/>
      <c r="AN187" s="76"/>
      <c r="AO187" s="76"/>
      <c r="AP187" s="76"/>
      <c r="AQ187" s="76"/>
      <c r="AR187" s="76"/>
      <c r="AS187" s="76"/>
      <c r="AT187" s="76"/>
      <c r="AU187" s="76"/>
      <c r="AV187" s="76"/>
      <c r="AW187" s="76"/>
      <c r="AX187" s="76"/>
      <c r="AY187" s="76"/>
      <c r="AZ187" s="76"/>
      <c r="BA187" s="76"/>
      <c r="BB187" s="76"/>
      <c r="BC187" s="76"/>
      <c r="BD187" s="76"/>
      <c r="BE187" s="76"/>
      <c r="BF187" s="76"/>
      <c r="BG187" s="76"/>
      <c r="BH187" s="76"/>
    </row>
    <row r="188" spans="1:60" x14ac:dyDescent="0.25">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c r="AX188" s="76"/>
      <c r="AY188" s="76"/>
      <c r="AZ188" s="76"/>
      <c r="BA188" s="76"/>
      <c r="BB188" s="76"/>
      <c r="BC188" s="76"/>
      <c r="BD188" s="76"/>
      <c r="BE188" s="76"/>
      <c r="BF188" s="76"/>
      <c r="BG188" s="76"/>
      <c r="BH188" s="76"/>
    </row>
    <row r="189" spans="1:60" x14ac:dyDescent="0.25">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6"/>
      <c r="BB189" s="76"/>
      <c r="BC189" s="76"/>
      <c r="BD189" s="76"/>
      <c r="BE189" s="76"/>
      <c r="BF189" s="76"/>
      <c r="BG189" s="76"/>
      <c r="BH189" s="76"/>
    </row>
    <row r="190" spans="1:60" x14ac:dyDescent="0.25">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c r="AI190" s="76"/>
      <c r="AJ190" s="76"/>
      <c r="AK190" s="76"/>
      <c r="AL190" s="76"/>
      <c r="AM190" s="76"/>
      <c r="AN190" s="76"/>
      <c r="AO190" s="76"/>
      <c r="AP190" s="76"/>
      <c r="AQ190" s="76"/>
      <c r="AR190" s="76"/>
      <c r="AS190" s="76"/>
      <c r="AT190" s="76"/>
      <c r="AU190" s="76"/>
      <c r="AV190" s="76"/>
      <c r="AW190" s="76"/>
      <c r="AX190" s="76"/>
      <c r="AY190" s="76"/>
      <c r="AZ190" s="76"/>
      <c r="BA190" s="76"/>
      <c r="BB190" s="76"/>
      <c r="BC190" s="76"/>
      <c r="BD190" s="76"/>
      <c r="BE190" s="76"/>
      <c r="BF190" s="76"/>
      <c r="BG190" s="76"/>
      <c r="BH190" s="76"/>
    </row>
    <row r="191" spans="1:60" x14ac:dyDescent="0.25">
      <c r="A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c r="AJ191" s="76"/>
      <c r="AK191" s="76"/>
      <c r="AL191" s="76"/>
      <c r="AM191" s="76"/>
      <c r="AN191" s="76"/>
      <c r="AO191" s="76"/>
      <c r="AP191" s="76"/>
      <c r="AQ191" s="76"/>
      <c r="AR191" s="76"/>
      <c r="AS191" s="76"/>
      <c r="AT191" s="76"/>
      <c r="AU191" s="76"/>
      <c r="AV191" s="76"/>
      <c r="AW191" s="76"/>
      <c r="AX191" s="76"/>
      <c r="AY191" s="76"/>
      <c r="AZ191" s="76"/>
      <c r="BA191" s="76"/>
      <c r="BB191" s="76"/>
      <c r="BC191" s="76"/>
      <c r="BD191" s="76"/>
      <c r="BE191" s="76"/>
      <c r="BF191" s="76"/>
      <c r="BG191" s="76"/>
      <c r="BH191" s="76"/>
    </row>
    <row r="192" spans="1:60" x14ac:dyDescent="0.25">
      <c r="A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c r="AI192" s="76"/>
      <c r="AJ192" s="76"/>
      <c r="AK192" s="76"/>
      <c r="AL192" s="76"/>
      <c r="AM192" s="76"/>
      <c r="AN192" s="76"/>
      <c r="AO192" s="76"/>
      <c r="AP192" s="76"/>
      <c r="AQ192" s="76"/>
      <c r="AR192" s="76"/>
      <c r="AS192" s="76"/>
      <c r="AT192" s="76"/>
      <c r="AU192" s="76"/>
      <c r="AV192" s="76"/>
      <c r="AW192" s="76"/>
      <c r="AX192" s="76"/>
      <c r="AY192" s="76"/>
      <c r="AZ192" s="76"/>
      <c r="BA192" s="76"/>
      <c r="BB192" s="76"/>
      <c r="BC192" s="76"/>
      <c r="BD192" s="76"/>
      <c r="BE192" s="76"/>
      <c r="BF192" s="76"/>
      <c r="BG192" s="76"/>
      <c r="BH192" s="76"/>
    </row>
    <row r="193" spans="1:60" x14ac:dyDescent="0.25">
      <c r="A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c r="AI193" s="76"/>
      <c r="AJ193" s="76"/>
      <c r="AK193" s="76"/>
      <c r="AL193" s="76"/>
      <c r="AM193" s="76"/>
      <c r="AN193" s="76"/>
      <c r="AO193" s="76"/>
      <c r="AP193" s="76"/>
      <c r="AQ193" s="76"/>
      <c r="AR193" s="76"/>
      <c r="AS193" s="76"/>
      <c r="AT193" s="76"/>
      <c r="AU193" s="76"/>
      <c r="AV193" s="76"/>
      <c r="AW193" s="76"/>
      <c r="AX193" s="76"/>
      <c r="AY193" s="76"/>
      <c r="AZ193" s="76"/>
      <c r="BA193" s="76"/>
      <c r="BB193" s="76"/>
      <c r="BC193" s="76"/>
      <c r="BD193" s="76"/>
      <c r="BE193" s="76"/>
      <c r="BF193" s="76"/>
      <c r="BG193" s="76"/>
      <c r="BH193" s="76"/>
    </row>
    <row r="194" spans="1:60" x14ac:dyDescent="0.25">
      <c r="A194" s="76"/>
      <c r="J194" s="76"/>
      <c r="K194" s="76"/>
      <c r="L194" s="76"/>
      <c r="M194" s="76"/>
      <c r="N194" s="76"/>
      <c r="O194" s="76"/>
      <c r="P194" s="76"/>
      <c r="Q194" s="76"/>
      <c r="R194" s="76"/>
      <c r="S194" s="76"/>
      <c r="T194" s="76"/>
      <c r="U194" s="76"/>
      <c r="V194" s="76"/>
      <c r="W194" s="76"/>
      <c r="X194" s="76"/>
      <c r="Y194" s="76"/>
      <c r="Z194" s="76"/>
      <c r="AA194" s="76"/>
      <c r="AB194" s="76"/>
      <c r="AC194" s="76"/>
      <c r="AD194" s="76"/>
      <c r="AE194" s="76"/>
      <c r="AF194" s="76"/>
      <c r="AG194" s="76"/>
      <c r="AH194" s="76"/>
      <c r="AI194" s="76"/>
      <c r="AJ194" s="76"/>
      <c r="AK194" s="76"/>
      <c r="AL194" s="76"/>
      <c r="AM194" s="76"/>
      <c r="AN194" s="76"/>
      <c r="AO194" s="76"/>
      <c r="AP194" s="76"/>
      <c r="AQ194" s="76"/>
      <c r="AR194" s="76"/>
      <c r="AS194" s="76"/>
      <c r="AT194" s="76"/>
      <c r="AU194" s="76"/>
      <c r="AV194" s="76"/>
      <c r="AW194" s="76"/>
      <c r="AX194" s="76"/>
      <c r="AY194" s="76"/>
      <c r="AZ194" s="76"/>
      <c r="BA194" s="76"/>
      <c r="BB194" s="76"/>
      <c r="BC194" s="76"/>
      <c r="BD194" s="76"/>
      <c r="BE194" s="76"/>
      <c r="BF194" s="76"/>
      <c r="BG194" s="76"/>
      <c r="BH194" s="76"/>
    </row>
    <row r="195" spans="1:60" x14ac:dyDescent="0.25">
      <c r="A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c r="AP195" s="76"/>
      <c r="AQ195" s="76"/>
      <c r="AR195" s="76"/>
      <c r="AS195" s="76"/>
      <c r="AT195" s="76"/>
      <c r="AU195" s="76"/>
      <c r="AV195" s="76"/>
      <c r="AW195" s="76"/>
      <c r="AX195" s="76"/>
      <c r="AY195" s="76"/>
      <c r="AZ195" s="76"/>
      <c r="BA195" s="76"/>
      <c r="BB195" s="76"/>
      <c r="BC195" s="76"/>
      <c r="BD195" s="76"/>
      <c r="BE195" s="76"/>
      <c r="BF195" s="76"/>
      <c r="BG195" s="76"/>
      <c r="BH195" s="76"/>
    </row>
    <row r="196" spans="1:60" x14ac:dyDescent="0.25">
      <c r="A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c r="AK196" s="76"/>
      <c r="AL196" s="76"/>
      <c r="AM196" s="76"/>
      <c r="AN196" s="76"/>
      <c r="AO196" s="76"/>
      <c r="AP196" s="76"/>
      <c r="AQ196" s="76"/>
      <c r="AR196" s="76"/>
      <c r="AS196" s="76"/>
      <c r="AT196" s="76"/>
      <c r="AU196" s="76"/>
      <c r="AV196" s="76"/>
      <c r="AW196" s="76"/>
      <c r="AX196" s="76"/>
      <c r="AY196" s="76"/>
      <c r="AZ196" s="76"/>
      <c r="BA196" s="76"/>
      <c r="BB196" s="76"/>
      <c r="BC196" s="76"/>
      <c r="BD196" s="76"/>
      <c r="BE196" s="76"/>
      <c r="BF196" s="76"/>
      <c r="BG196" s="76"/>
      <c r="BH196" s="76"/>
    </row>
    <row r="197" spans="1:60" x14ac:dyDescent="0.25">
      <c r="A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c r="AK197" s="76"/>
      <c r="AL197" s="76"/>
      <c r="AM197" s="76"/>
      <c r="AN197" s="76"/>
      <c r="AO197" s="76"/>
      <c r="AP197" s="76"/>
      <c r="AQ197" s="76"/>
      <c r="AR197" s="76"/>
      <c r="AS197" s="76"/>
      <c r="AT197" s="76"/>
      <c r="AU197" s="76"/>
      <c r="AV197" s="76"/>
      <c r="AW197" s="76"/>
      <c r="AX197" s="76"/>
      <c r="AY197" s="76"/>
      <c r="AZ197" s="76"/>
      <c r="BA197" s="76"/>
      <c r="BB197" s="76"/>
      <c r="BC197" s="76"/>
      <c r="BD197" s="76"/>
      <c r="BE197" s="76"/>
      <c r="BF197" s="76"/>
      <c r="BG197" s="76"/>
      <c r="BH197" s="76"/>
    </row>
    <row r="198" spans="1:60" x14ac:dyDescent="0.25">
      <c r="A198" s="76"/>
      <c r="J198" s="76"/>
      <c r="K198" s="76"/>
      <c r="L198" s="76"/>
      <c r="M198" s="76"/>
      <c r="N198" s="76"/>
      <c r="O198" s="76"/>
      <c r="P198" s="76"/>
      <c r="Q198" s="76"/>
      <c r="R198" s="76"/>
      <c r="S198" s="76"/>
      <c r="T198" s="76"/>
      <c r="U198" s="76"/>
      <c r="V198" s="76"/>
      <c r="W198" s="76"/>
      <c r="X198" s="76"/>
      <c r="Y198" s="76"/>
      <c r="Z198" s="76"/>
      <c r="AA198" s="76"/>
      <c r="AB198" s="76"/>
      <c r="AC198" s="76"/>
      <c r="AD198" s="76"/>
      <c r="AE198" s="76"/>
      <c r="AF198" s="76"/>
      <c r="AG198" s="76"/>
      <c r="AH198" s="76"/>
      <c r="AI198" s="76"/>
      <c r="AJ198" s="76"/>
      <c r="AK198" s="76"/>
      <c r="AL198" s="76"/>
      <c r="AM198" s="76"/>
      <c r="AN198" s="76"/>
      <c r="AO198" s="76"/>
      <c r="AP198" s="76"/>
      <c r="AQ198" s="76"/>
      <c r="AR198" s="76"/>
      <c r="AS198" s="76"/>
      <c r="AT198" s="76"/>
      <c r="AU198" s="76"/>
      <c r="AV198" s="76"/>
      <c r="AW198" s="76"/>
      <c r="AX198" s="76"/>
      <c r="AY198" s="76"/>
      <c r="AZ198" s="76"/>
      <c r="BA198" s="76"/>
      <c r="BB198" s="76"/>
      <c r="BC198" s="76"/>
      <c r="BD198" s="76"/>
      <c r="BE198" s="76"/>
      <c r="BF198" s="76"/>
      <c r="BG198" s="76"/>
      <c r="BH198" s="76"/>
    </row>
    <row r="199" spans="1:60" x14ac:dyDescent="0.25">
      <c r="A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c r="AN199" s="76"/>
      <c r="AO199" s="76"/>
      <c r="AP199" s="76"/>
      <c r="AQ199" s="76"/>
      <c r="AR199" s="76"/>
      <c r="AS199" s="76"/>
      <c r="AT199" s="76"/>
      <c r="AU199" s="76"/>
      <c r="AV199" s="76"/>
      <c r="AW199" s="76"/>
      <c r="AX199" s="76"/>
      <c r="AY199" s="76"/>
      <c r="AZ199" s="76"/>
      <c r="BA199" s="76"/>
      <c r="BB199" s="76"/>
      <c r="BC199" s="76"/>
      <c r="BD199" s="76"/>
      <c r="BE199" s="76"/>
      <c r="BF199" s="76"/>
      <c r="BG199" s="76"/>
      <c r="BH199" s="76"/>
    </row>
    <row r="200" spans="1:60" x14ac:dyDescent="0.25">
      <c r="A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c r="AR200" s="76"/>
      <c r="AS200" s="76"/>
      <c r="AT200" s="76"/>
      <c r="AU200" s="76"/>
      <c r="AV200" s="76"/>
      <c r="AW200" s="76"/>
      <c r="AX200" s="76"/>
      <c r="AY200" s="76"/>
      <c r="AZ200" s="76"/>
      <c r="BA200" s="76"/>
      <c r="BB200" s="76"/>
      <c r="BC200" s="76"/>
      <c r="BD200" s="76"/>
      <c r="BE200" s="76"/>
      <c r="BF200" s="76"/>
      <c r="BG200" s="76"/>
      <c r="BH200" s="76"/>
    </row>
    <row r="201" spans="1:60" x14ac:dyDescent="0.25">
      <c r="A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AK201" s="76"/>
      <c r="AL201" s="76"/>
      <c r="AM201" s="76"/>
      <c r="AN201" s="76"/>
      <c r="AO201" s="76"/>
      <c r="AP201" s="76"/>
      <c r="AQ201" s="76"/>
      <c r="AR201" s="76"/>
      <c r="AS201" s="76"/>
      <c r="AT201" s="76"/>
      <c r="AU201" s="76"/>
      <c r="AV201" s="76"/>
      <c r="AW201" s="76"/>
      <c r="AX201" s="76"/>
      <c r="AY201" s="76"/>
      <c r="AZ201" s="76"/>
      <c r="BA201" s="76"/>
      <c r="BB201" s="76"/>
      <c r="BC201" s="76"/>
      <c r="BD201" s="76"/>
      <c r="BE201" s="76"/>
      <c r="BF201" s="76"/>
      <c r="BG201" s="76"/>
      <c r="BH201" s="76"/>
    </row>
    <row r="202" spans="1:60" x14ac:dyDescent="0.25">
      <c r="A202" s="76"/>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76"/>
      <c r="AG202" s="76"/>
      <c r="AH202" s="76"/>
      <c r="AI202" s="76"/>
      <c r="AJ202" s="76"/>
      <c r="AK202" s="76"/>
      <c r="AL202" s="76"/>
      <c r="AM202" s="76"/>
      <c r="AN202" s="76"/>
      <c r="AO202" s="76"/>
      <c r="AP202" s="76"/>
      <c r="AQ202" s="76"/>
      <c r="AR202" s="76"/>
      <c r="AS202" s="76"/>
      <c r="AT202" s="76"/>
      <c r="AU202" s="76"/>
      <c r="AV202" s="76"/>
      <c r="AW202" s="76"/>
      <c r="AX202" s="76"/>
      <c r="AY202" s="76"/>
      <c r="AZ202" s="76"/>
      <c r="BA202" s="76"/>
      <c r="BB202" s="76"/>
      <c r="BC202" s="76"/>
      <c r="BD202" s="76"/>
      <c r="BE202" s="76"/>
      <c r="BF202" s="76"/>
      <c r="BG202" s="76"/>
      <c r="BH202" s="76"/>
    </row>
    <row r="203" spans="1:60" x14ac:dyDescent="0.25">
      <c r="A203" s="76"/>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c r="AG203" s="76"/>
      <c r="AH203" s="76"/>
      <c r="AI203" s="76"/>
      <c r="AJ203" s="76"/>
      <c r="AK203" s="76"/>
      <c r="AL203" s="76"/>
      <c r="AM203" s="76"/>
      <c r="AN203" s="76"/>
      <c r="AO203" s="76"/>
      <c r="AP203" s="76"/>
      <c r="AQ203" s="76"/>
      <c r="AR203" s="76"/>
      <c r="AS203" s="76"/>
      <c r="AT203" s="76"/>
      <c r="AU203" s="76"/>
      <c r="AV203" s="76"/>
      <c r="AW203" s="76"/>
      <c r="AX203" s="76"/>
      <c r="AY203" s="76"/>
      <c r="AZ203" s="76"/>
      <c r="BA203" s="76"/>
      <c r="BB203" s="76"/>
      <c r="BC203" s="76"/>
      <c r="BD203" s="76"/>
      <c r="BE203" s="76"/>
      <c r="BF203" s="76"/>
      <c r="BG203" s="76"/>
      <c r="BH203" s="76"/>
    </row>
    <row r="204" spans="1:60" x14ac:dyDescent="0.25">
      <c r="A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c r="AK204" s="76"/>
      <c r="AL204" s="76"/>
      <c r="AM204" s="76"/>
      <c r="AN204" s="76"/>
      <c r="AO204" s="76"/>
      <c r="AP204" s="76"/>
      <c r="AQ204" s="76"/>
      <c r="AR204" s="76"/>
      <c r="AS204" s="76"/>
      <c r="AT204" s="76"/>
      <c r="AU204" s="76"/>
      <c r="AV204" s="76"/>
      <c r="AW204" s="76"/>
      <c r="AX204" s="76"/>
      <c r="AY204" s="76"/>
      <c r="AZ204" s="76"/>
      <c r="BA204" s="76"/>
      <c r="BB204" s="76"/>
      <c r="BC204" s="76"/>
      <c r="BD204" s="76"/>
      <c r="BE204" s="76"/>
      <c r="BF204" s="76"/>
      <c r="BG204" s="76"/>
      <c r="BH204" s="76"/>
    </row>
    <row r="205" spans="1:60" x14ac:dyDescent="0.25">
      <c r="A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AK205" s="76"/>
      <c r="AL205" s="76"/>
      <c r="AM205" s="76"/>
      <c r="AN205" s="76"/>
      <c r="AO205" s="76"/>
      <c r="AP205" s="76"/>
      <c r="AQ205" s="76"/>
      <c r="AR205" s="76"/>
      <c r="AS205" s="76"/>
      <c r="AT205" s="76"/>
      <c r="AU205" s="76"/>
      <c r="AV205" s="76"/>
      <c r="AW205" s="76"/>
      <c r="AX205" s="76"/>
      <c r="AY205" s="76"/>
      <c r="AZ205" s="76"/>
      <c r="BA205" s="76"/>
      <c r="BB205" s="76"/>
      <c r="BC205" s="76"/>
      <c r="BD205" s="76"/>
      <c r="BE205" s="76"/>
      <c r="BF205" s="76"/>
      <c r="BG205" s="76"/>
      <c r="BH205" s="76"/>
    </row>
    <row r="206" spans="1:60" x14ac:dyDescent="0.25">
      <c r="A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76"/>
      <c r="AJ206" s="76"/>
      <c r="AK206" s="76"/>
      <c r="AL206" s="76"/>
      <c r="AM206" s="76"/>
      <c r="AN206" s="76"/>
      <c r="AO206" s="76"/>
      <c r="AP206" s="76"/>
      <c r="AQ206" s="76"/>
      <c r="AR206" s="76"/>
      <c r="AS206" s="76"/>
      <c r="AT206" s="76"/>
      <c r="AU206" s="76"/>
      <c r="AV206" s="76"/>
      <c r="AW206" s="76"/>
      <c r="AX206" s="76"/>
      <c r="AY206" s="76"/>
      <c r="AZ206" s="76"/>
      <c r="BA206" s="76"/>
      <c r="BB206" s="76"/>
      <c r="BC206" s="76"/>
      <c r="BD206" s="76"/>
      <c r="BE206" s="76"/>
      <c r="BF206" s="76"/>
      <c r="BG206" s="76"/>
      <c r="BH206" s="76"/>
    </row>
    <row r="207" spans="1:60" x14ac:dyDescent="0.25">
      <c r="A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AK207" s="76"/>
      <c r="AL207" s="76"/>
      <c r="AM207" s="76"/>
      <c r="AN207" s="76"/>
      <c r="AO207" s="76"/>
      <c r="AP207" s="76"/>
      <c r="AQ207" s="76"/>
      <c r="AR207" s="76"/>
      <c r="AS207" s="76"/>
      <c r="AT207" s="76"/>
      <c r="AU207" s="76"/>
      <c r="AV207" s="76"/>
      <c r="AW207" s="76"/>
      <c r="AX207" s="76"/>
      <c r="AY207" s="76"/>
      <c r="AZ207" s="76"/>
      <c r="BA207" s="76"/>
      <c r="BB207" s="76"/>
      <c r="BC207" s="76"/>
      <c r="BD207" s="76"/>
      <c r="BE207" s="76"/>
      <c r="BF207" s="76"/>
      <c r="BG207" s="76"/>
      <c r="BH207" s="76"/>
    </row>
    <row r="208" spans="1:60" x14ac:dyDescent="0.25">
      <c r="A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76"/>
      <c r="AG208" s="76"/>
      <c r="AH208" s="76"/>
      <c r="AI208" s="76"/>
      <c r="AJ208" s="76"/>
      <c r="AK208" s="76"/>
      <c r="AL208" s="76"/>
      <c r="AM208" s="76"/>
      <c r="AN208" s="76"/>
      <c r="AO208" s="76"/>
      <c r="AP208" s="76"/>
      <c r="AQ208" s="76"/>
      <c r="AR208" s="76"/>
      <c r="AS208" s="76"/>
      <c r="AT208" s="76"/>
      <c r="AU208" s="76"/>
      <c r="AV208" s="76"/>
      <c r="AW208" s="76"/>
      <c r="AX208" s="76"/>
      <c r="AY208" s="76"/>
      <c r="AZ208" s="76"/>
      <c r="BA208" s="76"/>
      <c r="BB208" s="76"/>
      <c r="BC208" s="76"/>
      <c r="BD208" s="76"/>
      <c r="BE208" s="76"/>
      <c r="BF208" s="76"/>
      <c r="BG208" s="76"/>
      <c r="BH208" s="76"/>
    </row>
    <row r="209" spans="1:60" x14ac:dyDescent="0.25">
      <c r="A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c r="AS209" s="76"/>
      <c r="AT209" s="76"/>
      <c r="AU209" s="76"/>
      <c r="AV209" s="76"/>
      <c r="AW209" s="76"/>
      <c r="AX209" s="76"/>
      <c r="AY209" s="76"/>
      <c r="AZ209" s="76"/>
      <c r="BA209" s="76"/>
      <c r="BB209" s="76"/>
      <c r="BC209" s="76"/>
      <c r="BD209" s="76"/>
      <c r="BE209" s="76"/>
      <c r="BF209" s="76"/>
      <c r="BG209" s="76"/>
      <c r="BH209" s="76"/>
    </row>
    <row r="210" spans="1:60" x14ac:dyDescent="0.25">
      <c r="A210" s="76"/>
      <c r="J210" s="76"/>
      <c r="K210" s="76"/>
      <c r="L210" s="76"/>
      <c r="M210" s="76"/>
      <c r="N210" s="76"/>
      <c r="O210" s="76"/>
      <c r="P210" s="76"/>
      <c r="Q210" s="76"/>
      <c r="R210" s="76"/>
      <c r="S210" s="76"/>
      <c r="T210" s="76"/>
      <c r="U210" s="76"/>
      <c r="V210" s="76"/>
      <c r="W210" s="76"/>
      <c r="X210" s="76"/>
      <c r="Y210" s="76"/>
      <c r="Z210" s="76"/>
      <c r="AA210" s="76"/>
      <c r="AB210" s="76"/>
      <c r="AC210" s="76"/>
      <c r="AD210" s="76"/>
      <c r="AE210" s="76"/>
      <c r="AF210" s="76"/>
      <c r="AG210" s="76"/>
      <c r="AH210" s="76"/>
      <c r="AI210" s="76"/>
      <c r="AJ210" s="76"/>
      <c r="AK210" s="76"/>
      <c r="AL210" s="76"/>
      <c r="AM210" s="76"/>
      <c r="AN210" s="76"/>
      <c r="AO210" s="76"/>
      <c r="AP210" s="76"/>
      <c r="AQ210" s="76"/>
      <c r="AR210" s="76"/>
      <c r="AS210" s="76"/>
      <c r="AT210" s="76"/>
      <c r="AU210" s="76"/>
      <c r="AV210" s="76"/>
      <c r="AW210" s="76"/>
      <c r="AX210" s="76"/>
      <c r="AY210" s="76"/>
      <c r="AZ210" s="76"/>
      <c r="BA210" s="76"/>
      <c r="BB210" s="76"/>
      <c r="BC210" s="76"/>
      <c r="BD210" s="76"/>
      <c r="BE210" s="76"/>
      <c r="BF210" s="76"/>
      <c r="BG210" s="76"/>
      <c r="BH210" s="76"/>
    </row>
    <row r="211" spans="1:60" x14ac:dyDescent="0.25">
      <c r="A211" s="76"/>
      <c r="J211" s="76"/>
      <c r="K211" s="76"/>
      <c r="L211" s="76"/>
      <c r="M211" s="76"/>
      <c r="N211" s="76"/>
      <c r="O211" s="76"/>
      <c r="P211" s="76"/>
      <c r="Q211" s="76"/>
      <c r="R211" s="76"/>
      <c r="S211" s="76"/>
      <c r="T211" s="76"/>
      <c r="U211" s="76"/>
      <c r="V211" s="76"/>
      <c r="W211" s="76"/>
      <c r="X211" s="76"/>
      <c r="Y211" s="76"/>
      <c r="Z211" s="76"/>
      <c r="AA211" s="76"/>
      <c r="AB211" s="76"/>
      <c r="AC211" s="76"/>
      <c r="AD211" s="76"/>
      <c r="AE211" s="76"/>
      <c r="AF211" s="76"/>
      <c r="AG211" s="76"/>
      <c r="AH211" s="76"/>
      <c r="AI211" s="76"/>
      <c r="AJ211" s="76"/>
      <c r="AK211" s="76"/>
      <c r="AL211" s="76"/>
      <c r="AM211" s="76"/>
      <c r="AN211" s="76"/>
      <c r="AO211" s="76"/>
      <c r="AP211" s="76"/>
      <c r="AQ211" s="76"/>
      <c r="AR211" s="76"/>
      <c r="AS211" s="76"/>
      <c r="AT211" s="76"/>
      <c r="AU211" s="76"/>
      <c r="AV211" s="76"/>
      <c r="AW211" s="76"/>
      <c r="AX211" s="76"/>
      <c r="AY211" s="76"/>
      <c r="AZ211" s="76"/>
      <c r="BA211" s="76"/>
      <c r="BB211" s="76"/>
      <c r="BC211" s="76"/>
      <c r="BD211" s="76"/>
      <c r="BE211" s="76"/>
      <c r="BF211" s="76"/>
      <c r="BG211" s="76"/>
      <c r="BH211" s="76"/>
    </row>
    <row r="212" spans="1:60" x14ac:dyDescent="0.25">
      <c r="A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76"/>
      <c r="AQ212" s="76"/>
      <c r="AR212" s="76"/>
      <c r="AS212" s="76"/>
      <c r="AT212" s="76"/>
      <c r="AU212" s="76"/>
      <c r="AV212" s="76"/>
      <c r="AW212" s="76"/>
      <c r="AX212" s="76"/>
      <c r="AY212" s="76"/>
      <c r="AZ212" s="76"/>
      <c r="BA212" s="76"/>
      <c r="BB212" s="76"/>
      <c r="BC212" s="76"/>
      <c r="BD212" s="76"/>
      <c r="BE212" s="76"/>
      <c r="BF212" s="76"/>
      <c r="BG212" s="76"/>
      <c r="BH212" s="76"/>
    </row>
    <row r="213" spans="1:60" x14ac:dyDescent="0.25">
      <c r="A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c r="AI213" s="76"/>
      <c r="AJ213" s="76"/>
      <c r="AK213" s="76"/>
      <c r="AL213" s="76"/>
      <c r="AM213" s="76"/>
      <c r="AN213" s="76"/>
      <c r="AO213" s="76"/>
      <c r="AP213" s="76"/>
      <c r="AQ213" s="76"/>
      <c r="AR213" s="76"/>
      <c r="AS213" s="76"/>
      <c r="AT213" s="76"/>
      <c r="AU213" s="76"/>
      <c r="AV213" s="76"/>
      <c r="AW213" s="76"/>
      <c r="AX213" s="76"/>
      <c r="AY213" s="76"/>
      <c r="AZ213" s="76"/>
      <c r="BA213" s="76"/>
      <c r="BB213" s="76"/>
      <c r="BC213" s="76"/>
      <c r="BD213" s="76"/>
      <c r="BE213" s="76"/>
      <c r="BF213" s="76"/>
      <c r="BG213" s="76"/>
      <c r="BH213" s="76"/>
    </row>
    <row r="214" spans="1:60" x14ac:dyDescent="0.25">
      <c r="A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M214" s="76"/>
      <c r="AN214" s="76"/>
      <c r="AO214" s="76"/>
      <c r="AP214" s="76"/>
      <c r="AQ214" s="76"/>
      <c r="AR214" s="76"/>
      <c r="AS214" s="76"/>
      <c r="AT214" s="76"/>
      <c r="AU214" s="76"/>
      <c r="AV214" s="76"/>
      <c r="AW214" s="76"/>
      <c r="AX214" s="76"/>
      <c r="AY214" s="76"/>
      <c r="AZ214" s="76"/>
      <c r="BA214" s="76"/>
      <c r="BB214" s="76"/>
      <c r="BC214" s="76"/>
      <c r="BD214" s="76"/>
      <c r="BE214" s="76"/>
      <c r="BF214" s="76"/>
      <c r="BG214" s="76"/>
      <c r="BH214" s="76"/>
    </row>
    <row r="215" spans="1:60" x14ac:dyDescent="0.25">
      <c r="A215" s="76"/>
      <c r="J215" s="76"/>
      <c r="K215" s="76"/>
      <c r="L215" s="76"/>
      <c r="M215" s="76"/>
      <c r="N215" s="76"/>
      <c r="O215" s="76"/>
      <c r="P215" s="76"/>
      <c r="Q215" s="76"/>
      <c r="R215" s="76"/>
      <c r="S215" s="76"/>
      <c r="T215" s="76"/>
      <c r="U215" s="76"/>
      <c r="V215" s="76"/>
      <c r="W215" s="76"/>
      <c r="X215" s="76"/>
      <c r="Y215" s="76"/>
      <c r="Z215" s="76"/>
      <c r="AA215" s="76"/>
      <c r="AB215" s="76"/>
      <c r="AC215" s="76"/>
      <c r="AD215" s="76"/>
      <c r="AE215" s="76"/>
      <c r="AF215" s="76"/>
      <c r="AG215" s="76"/>
      <c r="AH215" s="76"/>
      <c r="AI215" s="76"/>
      <c r="AJ215" s="76"/>
      <c r="AK215" s="76"/>
      <c r="AL215" s="76"/>
      <c r="AM215" s="76"/>
      <c r="AN215" s="76"/>
      <c r="AO215" s="76"/>
      <c r="AP215" s="76"/>
      <c r="AQ215" s="76"/>
      <c r="AR215" s="76"/>
      <c r="AS215" s="76"/>
      <c r="AT215" s="76"/>
      <c r="AU215" s="76"/>
      <c r="AV215" s="76"/>
      <c r="AW215" s="76"/>
      <c r="AX215" s="76"/>
      <c r="AY215" s="76"/>
      <c r="AZ215" s="76"/>
      <c r="BA215" s="76"/>
      <c r="BB215" s="76"/>
      <c r="BC215" s="76"/>
      <c r="BD215" s="76"/>
      <c r="BE215" s="76"/>
      <c r="BF215" s="76"/>
      <c r="BG215" s="76"/>
      <c r="BH215" s="76"/>
    </row>
    <row r="216" spans="1:60" x14ac:dyDescent="0.25">
      <c r="A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c r="AK216" s="76"/>
      <c r="AL216" s="76"/>
      <c r="AM216" s="76"/>
      <c r="AN216" s="76"/>
      <c r="AO216" s="76"/>
      <c r="AP216" s="76"/>
      <c r="AQ216" s="76"/>
      <c r="AR216" s="76"/>
      <c r="AS216" s="76"/>
      <c r="AT216" s="76"/>
      <c r="AU216" s="76"/>
      <c r="AV216" s="76"/>
      <c r="AW216" s="76"/>
      <c r="AX216" s="76"/>
      <c r="AY216" s="76"/>
      <c r="AZ216" s="76"/>
      <c r="BA216" s="76"/>
      <c r="BB216" s="76"/>
      <c r="BC216" s="76"/>
      <c r="BD216" s="76"/>
      <c r="BE216" s="76"/>
      <c r="BF216" s="76"/>
      <c r="BG216" s="76"/>
      <c r="BH216" s="76"/>
    </row>
    <row r="217" spans="1:60" x14ac:dyDescent="0.25">
      <c r="A217" s="76"/>
      <c r="J217" s="76"/>
      <c r="K217" s="76"/>
      <c r="L217" s="76"/>
      <c r="M217" s="76"/>
      <c r="N217" s="76"/>
      <c r="O217" s="76"/>
      <c r="P217" s="76"/>
      <c r="Q217" s="76"/>
      <c r="R217" s="76"/>
      <c r="S217" s="76"/>
      <c r="T217" s="76"/>
      <c r="U217" s="76"/>
      <c r="V217" s="76"/>
      <c r="W217" s="76"/>
      <c r="X217" s="76"/>
      <c r="Y217" s="76"/>
      <c r="Z217" s="76"/>
      <c r="AA217" s="76"/>
      <c r="AB217" s="76"/>
      <c r="AC217" s="76"/>
      <c r="AD217" s="76"/>
      <c r="AE217" s="76"/>
      <c r="AF217" s="76"/>
      <c r="AG217" s="76"/>
      <c r="AH217" s="76"/>
      <c r="AI217" s="76"/>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row>
    <row r="218" spans="1:60" x14ac:dyDescent="0.25">
      <c r="A218" s="76"/>
      <c r="J218" s="76"/>
      <c r="K218" s="76"/>
      <c r="L218" s="76"/>
      <c r="M218" s="76"/>
      <c r="N218" s="76"/>
      <c r="O218" s="76"/>
      <c r="P218" s="76"/>
      <c r="Q218" s="76"/>
      <c r="R218" s="76"/>
      <c r="S218" s="76"/>
      <c r="T218" s="76"/>
      <c r="U218" s="76"/>
      <c r="V218" s="76"/>
      <c r="W218" s="76"/>
      <c r="X218" s="76"/>
      <c r="Y218" s="76"/>
      <c r="Z218" s="76"/>
      <c r="AA218" s="76"/>
      <c r="AB218" s="76"/>
      <c r="AC218" s="76"/>
      <c r="AD218" s="76"/>
      <c r="AE218" s="76"/>
      <c r="AF218" s="76"/>
      <c r="AG218" s="76"/>
      <c r="AH218" s="76"/>
      <c r="AI218" s="76"/>
      <c r="AJ218" s="76"/>
      <c r="AK218" s="76"/>
      <c r="AL218" s="76"/>
      <c r="AM218" s="76"/>
      <c r="AN218" s="76"/>
      <c r="AO218" s="76"/>
      <c r="AP218" s="76"/>
      <c r="AQ218" s="76"/>
      <c r="AR218" s="76"/>
      <c r="AS218" s="76"/>
      <c r="AT218" s="76"/>
      <c r="AU218" s="76"/>
      <c r="AV218" s="76"/>
      <c r="AW218" s="76"/>
      <c r="AX218" s="76"/>
      <c r="AY218" s="76"/>
      <c r="AZ218" s="76"/>
      <c r="BA218" s="76"/>
      <c r="BB218" s="76"/>
      <c r="BC218" s="76"/>
      <c r="BD218" s="76"/>
      <c r="BE218" s="76"/>
      <c r="BF218" s="76"/>
      <c r="BG218" s="76"/>
      <c r="BH218" s="76"/>
    </row>
    <row r="219" spans="1:60" x14ac:dyDescent="0.25">
      <c r="A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c r="AI219" s="76"/>
      <c r="AJ219" s="76"/>
      <c r="AK219" s="76"/>
      <c r="AL219" s="76"/>
      <c r="AM219" s="76"/>
      <c r="AN219" s="76"/>
      <c r="AO219" s="76"/>
      <c r="AP219" s="76"/>
      <c r="AQ219" s="76"/>
      <c r="AR219" s="76"/>
      <c r="AS219" s="76"/>
      <c r="AT219" s="76"/>
      <c r="AU219" s="76"/>
      <c r="AV219" s="76"/>
      <c r="AW219" s="76"/>
      <c r="AX219" s="76"/>
      <c r="AY219" s="76"/>
      <c r="AZ219" s="76"/>
      <c r="BA219" s="76"/>
      <c r="BB219" s="76"/>
      <c r="BC219" s="76"/>
      <c r="BD219" s="76"/>
      <c r="BE219" s="76"/>
      <c r="BF219" s="76"/>
      <c r="BG219" s="76"/>
      <c r="BH219" s="76"/>
    </row>
    <row r="220" spans="1:60" x14ac:dyDescent="0.25">
      <c r="A220" s="76"/>
      <c r="J220" s="76"/>
      <c r="K220" s="76"/>
      <c r="L220" s="76"/>
      <c r="M220" s="76"/>
      <c r="N220" s="76"/>
      <c r="O220" s="76"/>
      <c r="P220" s="76"/>
      <c r="Q220" s="76"/>
      <c r="R220" s="76"/>
      <c r="S220" s="76"/>
      <c r="T220" s="76"/>
      <c r="U220" s="76"/>
      <c r="V220" s="76"/>
      <c r="W220" s="76"/>
      <c r="X220" s="76"/>
      <c r="Y220" s="76"/>
      <c r="Z220" s="76"/>
      <c r="AA220" s="76"/>
      <c r="AB220" s="76"/>
      <c r="AC220" s="76"/>
      <c r="AD220" s="76"/>
      <c r="AE220" s="76"/>
      <c r="AF220" s="76"/>
      <c r="AG220" s="76"/>
      <c r="AH220" s="76"/>
      <c r="AI220" s="76"/>
      <c r="AJ220" s="76"/>
      <c r="AK220" s="76"/>
      <c r="AL220" s="76"/>
      <c r="AM220" s="76"/>
      <c r="AN220" s="76"/>
      <c r="AO220" s="76"/>
      <c r="AP220" s="76"/>
      <c r="AQ220" s="76"/>
      <c r="AR220" s="76"/>
      <c r="AS220" s="76"/>
      <c r="AT220" s="76"/>
      <c r="AU220" s="76"/>
      <c r="AV220" s="76"/>
      <c r="AW220" s="76"/>
      <c r="AX220" s="76"/>
      <c r="AY220" s="76"/>
      <c r="AZ220" s="76"/>
      <c r="BA220" s="76"/>
      <c r="BB220" s="76"/>
      <c r="BC220" s="76"/>
      <c r="BD220" s="76"/>
      <c r="BE220" s="76"/>
      <c r="BF220" s="76"/>
      <c r="BG220" s="76"/>
      <c r="BH220" s="76"/>
    </row>
    <row r="221" spans="1:60" x14ac:dyDescent="0.25">
      <c r="A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c r="AN221" s="76"/>
      <c r="AO221" s="76"/>
      <c r="AP221" s="76"/>
      <c r="AQ221" s="76"/>
      <c r="AR221" s="76"/>
      <c r="AS221" s="76"/>
      <c r="AT221" s="76"/>
      <c r="AU221" s="76"/>
      <c r="AV221" s="76"/>
      <c r="AW221" s="76"/>
      <c r="AX221" s="76"/>
      <c r="AY221" s="76"/>
      <c r="AZ221" s="76"/>
      <c r="BA221" s="76"/>
      <c r="BB221" s="76"/>
      <c r="BC221" s="76"/>
      <c r="BD221" s="76"/>
      <c r="BE221" s="76"/>
      <c r="BF221" s="76"/>
      <c r="BG221" s="76"/>
      <c r="BH221" s="76"/>
    </row>
    <row r="222" spans="1:60" x14ac:dyDescent="0.25">
      <c r="A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c r="AN222" s="76"/>
      <c r="AO222" s="76"/>
      <c r="AP222" s="76"/>
      <c r="AQ222" s="76"/>
      <c r="AR222" s="76"/>
      <c r="AS222" s="76"/>
      <c r="AT222" s="76"/>
      <c r="AU222" s="76"/>
      <c r="AV222" s="76"/>
      <c r="AW222" s="76"/>
      <c r="AX222" s="76"/>
      <c r="AY222" s="76"/>
      <c r="AZ222" s="76"/>
      <c r="BA222" s="76"/>
      <c r="BB222" s="76"/>
      <c r="BC222" s="76"/>
      <c r="BD222" s="76"/>
      <c r="BE222" s="76"/>
      <c r="BF222" s="76"/>
      <c r="BG222" s="76"/>
      <c r="BH222" s="76"/>
    </row>
    <row r="223" spans="1:60" x14ac:dyDescent="0.25">
      <c r="A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76"/>
      <c r="AG223" s="76"/>
      <c r="AH223" s="76"/>
      <c r="AI223" s="76"/>
      <c r="AJ223" s="76"/>
      <c r="AK223" s="76"/>
      <c r="AL223" s="76"/>
      <c r="AM223" s="76"/>
      <c r="AN223" s="76"/>
      <c r="AO223" s="76"/>
      <c r="AP223" s="76"/>
      <c r="AQ223" s="76"/>
      <c r="AR223" s="76"/>
      <c r="AS223" s="76"/>
      <c r="AT223" s="76"/>
      <c r="AU223" s="76"/>
      <c r="AV223" s="76"/>
      <c r="AW223" s="76"/>
      <c r="AX223" s="76"/>
      <c r="AY223" s="76"/>
      <c r="AZ223" s="76"/>
      <c r="BA223" s="76"/>
      <c r="BB223" s="76"/>
      <c r="BC223" s="76"/>
      <c r="BD223" s="76"/>
      <c r="BE223" s="76"/>
      <c r="BF223" s="76"/>
      <c r="BG223" s="76"/>
      <c r="BH223" s="76"/>
    </row>
    <row r="224" spans="1:60" x14ac:dyDescent="0.25">
      <c r="A224" s="76"/>
      <c r="J224" s="76"/>
      <c r="K224" s="76"/>
      <c r="L224" s="76"/>
      <c r="M224" s="76"/>
      <c r="N224" s="76"/>
      <c r="O224" s="76"/>
      <c r="P224" s="76"/>
      <c r="Q224" s="76"/>
      <c r="R224" s="76"/>
      <c r="S224" s="76"/>
      <c r="T224" s="76"/>
      <c r="U224" s="76"/>
      <c r="V224" s="76"/>
      <c r="W224" s="76"/>
      <c r="X224" s="76"/>
      <c r="Y224" s="76"/>
      <c r="Z224" s="76"/>
      <c r="AA224" s="76"/>
      <c r="AB224" s="76"/>
      <c r="AC224" s="76"/>
      <c r="AD224" s="76"/>
      <c r="AE224" s="76"/>
      <c r="AF224" s="76"/>
      <c r="AG224" s="76"/>
      <c r="AH224" s="76"/>
      <c r="AI224" s="76"/>
      <c r="AJ224" s="76"/>
      <c r="AK224" s="76"/>
      <c r="AL224" s="76"/>
      <c r="AM224" s="76"/>
      <c r="AN224" s="76"/>
      <c r="AO224" s="76"/>
      <c r="AP224" s="76"/>
      <c r="AQ224" s="76"/>
      <c r="AR224" s="76"/>
      <c r="AS224" s="76"/>
      <c r="AT224" s="76"/>
      <c r="AU224" s="76"/>
      <c r="AV224" s="76"/>
      <c r="AW224" s="76"/>
      <c r="AX224" s="76"/>
      <c r="AY224" s="76"/>
      <c r="AZ224" s="76"/>
      <c r="BA224" s="76"/>
      <c r="BB224" s="76"/>
      <c r="BC224" s="76"/>
      <c r="BD224" s="76"/>
      <c r="BE224" s="76"/>
      <c r="BF224" s="76"/>
      <c r="BG224" s="76"/>
      <c r="BH224" s="76"/>
    </row>
    <row r="225" spans="1:60" x14ac:dyDescent="0.25">
      <c r="A225" s="76"/>
      <c r="J225" s="76"/>
      <c r="K225" s="76"/>
      <c r="L225" s="76"/>
      <c r="M225" s="76"/>
      <c r="N225" s="76"/>
      <c r="O225" s="76"/>
      <c r="P225" s="76"/>
      <c r="Q225" s="76"/>
      <c r="R225" s="76"/>
      <c r="S225" s="76"/>
      <c r="T225" s="76"/>
      <c r="U225" s="76"/>
      <c r="V225" s="76"/>
      <c r="W225" s="76"/>
      <c r="X225" s="76"/>
      <c r="Y225" s="76"/>
      <c r="Z225" s="76"/>
      <c r="AA225" s="76"/>
      <c r="AB225" s="76"/>
      <c r="AC225" s="76"/>
      <c r="AD225" s="76"/>
      <c r="AE225" s="76"/>
      <c r="AF225" s="76"/>
      <c r="AG225" s="76"/>
      <c r="AH225" s="76"/>
      <c r="AI225" s="76"/>
      <c r="AJ225" s="76"/>
      <c r="AK225" s="76"/>
      <c r="AL225" s="76"/>
      <c r="AM225" s="76"/>
      <c r="AN225" s="76"/>
      <c r="AO225" s="76"/>
      <c r="AP225" s="76"/>
      <c r="AQ225" s="76"/>
      <c r="AR225" s="76"/>
      <c r="AS225" s="76"/>
      <c r="AT225" s="76"/>
      <c r="AU225" s="76"/>
      <c r="AV225" s="76"/>
      <c r="AW225" s="76"/>
      <c r="AX225" s="76"/>
      <c r="AY225" s="76"/>
      <c r="AZ225" s="76"/>
      <c r="BA225" s="76"/>
      <c r="BB225" s="76"/>
      <c r="BC225" s="76"/>
      <c r="BD225" s="76"/>
      <c r="BE225" s="76"/>
      <c r="BF225" s="76"/>
      <c r="BG225" s="76"/>
      <c r="BH225" s="76"/>
    </row>
    <row r="226" spans="1:60" x14ac:dyDescent="0.25">
      <c r="A226" s="76"/>
      <c r="J226" s="76"/>
      <c r="K226" s="76"/>
      <c r="L226" s="76"/>
      <c r="M226" s="76"/>
      <c r="N226" s="76"/>
      <c r="O226" s="76"/>
      <c r="P226" s="76"/>
      <c r="Q226" s="76"/>
      <c r="R226" s="76"/>
      <c r="S226" s="76"/>
      <c r="T226" s="76"/>
      <c r="U226" s="76"/>
      <c r="V226" s="76"/>
      <c r="W226" s="76"/>
      <c r="X226" s="76"/>
      <c r="Y226" s="76"/>
      <c r="Z226" s="76"/>
      <c r="AA226" s="76"/>
      <c r="AB226" s="76"/>
      <c r="AC226" s="76"/>
      <c r="AD226" s="76"/>
      <c r="AE226" s="76"/>
      <c r="AF226" s="76"/>
      <c r="AG226" s="76"/>
      <c r="AH226" s="76"/>
      <c r="AI226" s="76"/>
      <c r="AJ226" s="76"/>
      <c r="AK226" s="76"/>
      <c r="AL226" s="76"/>
      <c r="AM226" s="76"/>
      <c r="AN226" s="76"/>
      <c r="AO226" s="76"/>
      <c r="AP226" s="76"/>
      <c r="AQ226" s="76"/>
      <c r="AR226" s="76"/>
      <c r="AS226" s="76"/>
      <c r="AT226" s="76"/>
      <c r="AU226" s="76"/>
      <c r="AV226" s="76"/>
      <c r="AW226" s="76"/>
      <c r="AX226" s="76"/>
      <c r="AY226" s="76"/>
      <c r="AZ226" s="76"/>
      <c r="BA226" s="76"/>
      <c r="BB226" s="76"/>
      <c r="BC226" s="76"/>
      <c r="BD226" s="76"/>
      <c r="BE226" s="76"/>
      <c r="BF226" s="76"/>
      <c r="BG226" s="76"/>
      <c r="BH226" s="76"/>
    </row>
    <row r="227" spans="1:60" x14ac:dyDescent="0.25">
      <c r="A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76"/>
      <c r="AG227" s="76"/>
      <c r="AH227" s="76"/>
      <c r="AI227" s="76"/>
      <c r="AJ227" s="76"/>
      <c r="AK227" s="76"/>
      <c r="AL227" s="76"/>
      <c r="AM227" s="76"/>
      <c r="AN227" s="76"/>
      <c r="AO227" s="76"/>
      <c r="AP227" s="76"/>
      <c r="AQ227" s="76"/>
      <c r="AR227" s="76"/>
      <c r="AS227" s="76"/>
      <c r="AT227" s="76"/>
      <c r="AU227" s="76"/>
      <c r="AV227" s="76"/>
      <c r="AW227" s="76"/>
      <c r="AX227" s="76"/>
      <c r="AY227" s="76"/>
      <c r="AZ227" s="76"/>
      <c r="BA227" s="76"/>
      <c r="BB227" s="76"/>
      <c r="BC227" s="76"/>
      <c r="BD227" s="76"/>
      <c r="BE227" s="76"/>
      <c r="BF227" s="76"/>
      <c r="BG227" s="76"/>
      <c r="BH227" s="76"/>
    </row>
    <row r="228" spans="1:60" x14ac:dyDescent="0.25">
      <c r="A228" s="76"/>
      <c r="J228" s="76"/>
      <c r="K228" s="76"/>
      <c r="L228" s="76"/>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6"/>
      <c r="AN228" s="76"/>
      <c r="AO228" s="76"/>
      <c r="AP228" s="76"/>
      <c r="AQ228" s="76"/>
      <c r="AR228" s="76"/>
      <c r="AS228" s="76"/>
      <c r="AT228" s="76"/>
      <c r="AU228" s="76"/>
      <c r="AV228" s="76"/>
      <c r="AW228" s="76"/>
      <c r="AX228" s="76"/>
      <c r="AY228" s="76"/>
      <c r="AZ228" s="76"/>
      <c r="BA228" s="76"/>
      <c r="BB228" s="76"/>
      <c r="BC228" s="76"/>
      <c r="BD228" s="76"/>
      <c r="BE228" s="76"/>
      <c r="BF228" s="76"/>
      <c r="BG228" s="76"/>
      <c r="BH228" s="76"/>
    </row>
    <row r="229" spans="1:60" x14ac:dyDescent="0.25">
      <c r="A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c r="AG229" s="76"/>
      <c r="AH229" s="76"/>
      <c r="AI229" s="76"/>
      <c r="AJ229" s="76"/>
      <c r="AK229" s="76"/>
      <c r="AL229" s="76"/>
      <c r="AM229" s="76"/>
      <c r="AN229" s="76"/>
      <c r="AO229" s="76"/>
      <c r="AP229" s="76"/>
      <c r="AQ229" s="76"/>
      <c r="AR229" s="76"/>
      <c r="AS229" s="76"/>
      <c r="AT229" s="76"/>
      <c r="AU229" s="76"/>
      <c r="AV229" s="76"/>
      <c r="AW229" s="76"/>
      <c r="AX229" s="76"/>
      <c r="AY229" s="76"/>
      <c r="AZ229" s="76"/>
      <c r="BA229" s="76"/>
      <c r="BB229" s="76"/>
      <c r="BC229" s="76"/>
      <c r="BD229" s="76"/>
      <c r="BE229" s="76"/>
      <c r="BF229" s="76"/>
      <c r="BG229" s="76"/>
      <c r="BH229" s="76"/>
    </row>
    <row r="230" spans="1:60" x14ac:dyDescent="0.25">
      <c r="A230" s="76"/>
      <c r="J230" s="76"/>
      <c r="K230" s="76"/>
      <c r="L230" s="76"/>
      <c r="M230" s="76"/>
      <c r="N230" s="76"/>
      <c r="O230" s="76"/>
      <c r="P230" s="76"/>
      <c r="Q230" s="76"/>
      <c r="R230" s="76"/>
      <c r="S230" s="76"/>
      <c r="T230" s="76"/>
      <c r="U230" s="76"/>
      <c r="V230" s="76"/>
      <c r="W230" s="76"/>
      <c r="X230" s="76"/>
      <c r="Y230" s="76"/>
      <c r="Z230" s="76"/>
      <c r="AA230" s="76"/>
      <c r="AB230" s="76"/>
      <c r="AC230" s="76"/>
      <c r="AD230" s="76"/>
      <c r="AE230" s="76"/>
      <c r="AF230" s="76"/>
      <c r="AG230" s="76"/>
      <c r="AH230" s="76"/>
      <c r="AI230" s="76"/>
      <c r="AJ230" s="76"/>
      <c r="AK230" s="76"/>
      <c r="AL230" s="76"/>
      <c r="AM230" s="76"/>
      <c r="AN230" s="76"/>
      <c r="AO230" s="76"/>
      <c r="AP230" s="76"/>
      <c r="AQ230" s="76"/>
      <c r="AR230" s="76"/>
      <c r="AS230" s="76"/>
      <c r="AT230" s="76"/>
      <c r="AU230" s="76"/>
      <c r="AV230" s="76"/>
      <c r="AW230" s="76"/>
      <c r="AX230" s="76"/>
      <c r="AY230" s="76"/>
      <c r="AZ230" s="76"/>
      <c r="BA230" s="76"/>
      <c r="BB230" s="76"/>
      <c r="BC230" s="76"/>
      <c r="BD230" s="76"/>
      <c r="BE230" s="76"/>
      <c r="BF230" s="76"/>
      <c r="BG230" s="76"/>
      <c r="BH230" s="76"/>
    </row>
    <row r="231" spans="1:60" x14ac:dyDescent="0.25">
      <c r="A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c r="AG231" s="76"/>
      <c r="AH231" s="76"/>
      <c r="AI231" s="76"/>
      <c r="AJ231" s="76"/>
      <c r="AK231" s="76"/>
      <c r="AL231" s="76"/>
      <c r="AM231" s="76"/>
      <c r="AN231" s="76"/>
      <c r="AO231" s="76"/>
      <c r="AP231" s="76"/>
      <c r="AQ231" s="76"/>
      <c r="AR231" s="76"/>
      <c r="AS231" s="76"/>
      <c r="AT231" s="76"/>
      <c r="AU231" s="76"/>
      <c r="AV231" s="76"/>
      <c r="AW231" s="76"/>
      <c r="AX231" s="76"/>
      <c r="AY231" s="76"/>
      <c r="AZ231" s="76"/>
      <c r="BA231" s="76"/>
      <c r="BB231" s="76"/>
      <c r="BC231" s="76"/>
      <c r="BD231" s="76"/>
      <c r="BE231" s="76"/>
      <c r="BF231" s="76"/>
      <c r="BG231" s="76"/>
      <c r="BH231" s="76"/>
    </row>
    <row r="232" spans="1:60" x14ac:dyDescent="0.25">
      <c r="A232" s="76"/>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76"/>
      <c r="AG232" s="76"/>
      <c r="AH232" s="76"/>
      <c r="AI232" s="76"/>
      <c r="AJ232" s="76"/>
      <c r="AK232" s="76"/>
      <c r="AL232" s="76"/>
      <c r="AM232" s="76"/>
      <c r="AN232" s="76"/>
      <c r="AO232" s="76"/>
      <c r="AP232" s="76"/>
      <c r="AQ232" s="76"/>
      <c r="AR232" s="76"/>
      <c r="AS232" s="76"/>
      <c r="AT232" s="76"/>
      <c r="AU232" s="76"/>
      <c r="AV232" s="76"/>
      <c r="AW232" s="76"/>
      <c r="AX232" s="76"/>
      <c r="AY232" s="76"/>
      <c r="AZ232" s="76"/>
      <c r="BA232" s="76"/>
      <c r="BB232" s="76"/>
      <c r="BC232" s="76"/>
      <c r="BD232" s="76"/>
      <c r="BE232" s="76"/>
      <c r="BF232" s="76"/>
      <c r="BG232" s="76"/>
      <c r="BH232" s="76"/>
    </row>
    <row r="233" spans="1:60" x14ac:dyDescent="0.25">
      <c r="A233" s="76"/>
      <c r="J233" s="76"/>
      <c r="K233" s="76"/>
      <c r="L233" s="76"/>
      <c r="M233" s="76"/>
      <c r="N233" s="76"/>
      <c r="O233" s="76"/>
      <c r="P233" s="76"/>
      <c r="Q233" s="76"/>
      <c r="R233" s="76"/>
      <c r="S233" s="76"/>
      <c r="T233" s="76"/>
      <c r="U233" s="76"/>
      <c r="V233" s="76"/>
      <c r="W233" s="76"/>
      <c r="X233" s="76"/>
      <c r="Y233" s="76"/>
      <c r="Z233" s="76"/>
      <c r="AA233" s="76"/>
      <c r="AB233" s="76"/>
      <c r="AC233" s="76"/>
      <c r="AD233" s="76"/>
      <c r="AE233" s="76"/>
      <c r="AF233" s="76"/>
      <c r="AG233" s="76"/>
      <c r="AH233" s="76"/>
      <c r="AI233" s="76"/>
      <c r="AJ233" s="76"/>
      <c r="AK233" s="76"/>
      <c r="AL233" s="76"/>
      <c r="AM233" s="76"/>
      <c r="AN233" s="76"/>
      <c r="AO233" s="76"/>
      <c r="AP233" s="76"/>
      <c r="AQ233" s="76"/>
      <c r="AR233" s="76"/>
      <c r="AS233" s="76"/>
      <c r="AT233" s="76"/>
      <c r="AU233" s="76"/>
      <c r="AV233" s="76"/>
      <c r="AW233" s="76"/>
      <c r="AX233" s="76"/>
      <c r="AY233" s="76"/>
      <c r="AZ233" s="76"/>
      <c r="BA233" s="76"/>
      <c r="BB233" s="76"/>
      <c r="BC233" s="76"/>
      <c r="BD233" s="76"/>
      <c r="BE233" s="76"/>
      <c r="BF233" s="76"/>
      <c r="BG233" s="76"/>
      <c r="BH233" s="76"/>
    </row>
    <row r="234" spans="1:60" x14ac:dyDescent="0.25">
      <c r="A234" s="76"/>
      <c r="J234" s="76"/>
      <c r="K234" s="76"/>
      <c r="L234" s="76"/>
      <c r="M234" s="76"/>
      <c r="N234" s="76"/>
      <c r="O234" s="76"/>
      <c r="P234" s="76"/>
      <c r="Q234" s="76"/>
      <c r="R234" s="76"/>
      <c r="S234" s="76"/>
      <c r="T234" s="76"/>
      <c r="U234" s="76"/>
      <c r="V234" s="76"/>
      <c r="W234" s="76"/>
      <c r="X234" s="76"/>
      <c r="Y234" s="76"/>
      <c r="Z234" s="76"/>
      <c r="AA234" s="76"/>
      <c r="AB234" s="76"/>
      <c r="AC234" s="76"/>
      <c r="AD234" s="76"/>
      <c r="AE234" s="76"/>
      <c r="AF234" s="76"/>
      <c r="AG234" s="76"/>
      <c r="AH234" s="76"/>
      <c r="AI234" s="76"/>
      <c r="AJ234" s="76"/>
      <c r="AK234" s="76"/>
      <c r="AL234" s="76"/>
      <c r="AM234" s="76"/>
      <c r="AN234" s="76"/>
      <c r="AO234" s="76"/>
      <c r="AP234" s="76"/>
      <c r="AQ234" s="76"/>
      <c r="AR234" s="76"/>
      <c r="AS234" s="76"/>
      <c r="AT234" s="76"/>
      <c r="AU234" s="76"/>
      <c r="AV234" s="76"/>
      <c r="AW234" s="76"/>
      <c r="AX234" s="76"/>
      <c r="AY234" s="76"/>
      <c r="AZ234" s="76"/>
      <c r="BA234" s="76"/>
      <c r="BB234" s="76"/>
      <c r="BC234" s="76"/>
      <c r="BD234" s="76"/>
      <c r="BE234" s="76"/>
      <c r="BF234" s="76"/>
      <c r="BG234" s="76"/>
      <c r="BH234" s="76"/>
    </row>
    <row r="235" spans="1:60" x14ac:dyDescent="0.25">
      <c r="A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c r="AG235" s="76"/>
      <c r="AH235" s="76"/>
      <c r="AI235" s="76"/>
      <c r="AJ235" s="76"/>
      <c r="AK235" s="76"/>
      <c r="AL235" s="76"/>
      <c r="AM235" s="76"/>
      <c r="AN235" s="76"/>
      <c r="AO235" s="76"/>
      <c r="AP235" s="76"/>
      <c r="AQ235" s="76"/>
      <c r="AR235" s="76"/>
      <c r="AS235" s="76"/>
      <c r="AT235" s="76"/>
      <c r="AU235" s="76"/>
      <c r="AV235" s="76"/>
      <c r="AW235" s="76"/>
      <c r="AX235" s="76"/>
      <c r="AY235" s="76"/>
      <c r="AZ235" s="76"/>
      <c r="BA235" s="76"/>
      <c r="BB235" s="76"/>
      <c r="BC235" s="76"/>
      <c r="BD235" s="76"/>
      <c r="BE235" s="76"/>
      <c r="BF235" s="76"/>
      <c r="BG235" s="76"/>
      <c r="BH235" s="76"/>
    </row>
    <row r="236" spans="1:60" x14ac:dyDescent="0.25">
      <c r="A236" s="76"/>
      <c r="J236" s="76"/>
      <c r="K236" s="76"/>
      <c r="L236" s="76"/>
      <c r="M236" s="76"/>
      <c r="N236" s="76"/>
      <c r="O236" s="76"/>
      <c r="P236" s="76"/>
      <c r="Q236" s="76"/>
      <c r="R236" s="76"/>
      <c r="S236" s="76"/>
      <c r="T236" s="76"/>
      <c r="U236" s="76"/>
      <c r="V236" s="76"/>
      <c r="W236" s="76"/>
      <c r="X236" s="76"/>
      <c r="Y236" s="76"/>
      <c r="Z236" s="76"/>
      <c r="AA236" s="76"/>
      <c r="AB236" s="76"/>
      <c r="AC236" s="76"/>
      <c r="AD236" s="76"/>
      <c r="AE236" s="76"/>
      <c r="AF236" s="76"/>
      <c r="AG236" s="76"/>
      <c r="AH236" s="76"/>
      <c r="AI236" s="76"/>
      <c r="AJ236" s="76"/>
      <c r="AK236" s="76"/>
      <c r="AL236" s="76"/>
      <c r="AM236" s="76"/>
      <c r="AN236" s="76"/>
      <c r="AO236" s="76"/>
      <c r="AP236" s="76"/>
      <c r="AQ236" s="76"/>
      <c r="AR236" s="76"/>
      <c r="AS236" s="76"/>
      <c r="AT236" s="76"/>
      <c r="AU236" s="76"/>
      <c r="AV236" s="76"/>
      <c r="AW236" s="76"/>
      <c r="AX236" s="76"/>
      <c r="AY236" s="76"/>
      <c r="AZ236" s="76"/>
      <c r="BA236" s="76"/>
      <c r="BB236" s="76"/>
      <c r="BC236" s="76"/>
      <c r="BD236" s="76"/>
      <c r="BE236" s="76"/>
      <c r="BF236" s="76"/>
      <c r="BG236" s="76"/>
      <c r="BH236" s="76"/>
    </row>
    <row r="237" spans="1:60" x14ac:dyDescent="0.25">
      <c r="A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c r="AG237" s="76"/>
      <c r="AH237" s="76"/>
      <c r="AI237" s="76"/>
      <c r="AJ237" s="76"/>
      <c r="AK237" s="76"/>
      <c r="AL237" s="76"/>
      <c r="AM237" s="76"/>
      <c r="AN237" s="76"/>
      <c r="AO237" s="76"/>
      <c r="AP237" s="76"/>
      <c r="AQ237" s="76"/>
      <c r="AR237" s="76"/>
      <c r="AS237" s="76"/>
      <c r="AT237" s="76"/>
      <c r="AU237" s="76"/>
      <c r="AV237" s="76"/>
      <c r="AW237" s="76"/>
      <c r="AX237" s="76"/>
      <c r="AY237" s="76"/>
      <c r="AZ237" s="76"/>
      <c r="BA237" s="76"/>
      <c r="BB237" s="76"/>
      <c r="BC237" s="76"/>
      <c r="BD237" s="76"/>
      <c r="BE237" s="76"/>
      <c r="BF237" s="76"/>
      <c r="BG237" s="76"/>
      <c r="BH237" s="76"/>
    </row>
    <row r="238" spans="1:60" x14ac:dyDescent="0.25">
      <c r="A238" s="76"/>
      <c r="J238" s="76"/>
      <c r="K238" s="76"/>
      <c r="L238" s="76"/>
      <c r="M238" s="76"/>
      <c r="N238" s="76"/>
      <c r="O238" s="76"/>
      <c r="P238" s="76"/>
      <c r="Q238" s="76"/>
      <c r="R238" s="76"/>
      <c r="S238" s="76"/>
      <c r="T238" s="76"/>
      <c r="U238" s="76"/>
      <c r="V238" s="76"/>
      <c r="W238" s="76"/>
      <c r="X238" s="76"/>
      <c r="Y238" s="76"/>
      <c r="Z238" s="76"/>
      <c r="AA238" s="76"/>
      <c r="AB238" s="76"/>
      <c r="AC238" s="76"/>
      <c r="AD238" s="76"/>
      <c r="AE238" s="76"/>
      <c r="AF238" s="76"/>
      <c r="AG238" s="76"/>
      <c r="AH238" s="76"/>
      <c r="AI238" s="76"/>
      <c r="AJ238" s="76"/>
      <c r="AK238" s="76"/>
      <c r="AL238" s="76"/>
      <c r="AM238" s="76"/>
      <c r="AN238" s="76"/>
      <c r="AO238" s="76"/>
      <c r="AP238" s="76"/>
      <c r="AQ238" s="76"/>
      <c r="AR238" s="76"/>
      <c r="AS238" s="76"/>
      <c r="AT238" s="76"/>
      <c r="AU238" s="76"/>
      <c r="AV238" s="76"/>
      <c r="AW238" s="76"/>
      <c r="AX238" s="76"/>
      <c r="AY238" s="76"/>
      <c r="AZ238" s="76"/>
      <c r="BA238" s="76"/>
      <c r="BB238" s="76"/>
      <c r="BC238" s="76"/>
      <c r="BD238" s="76"/>
      <c r="BE238" s="76"/>
      <c r="BF238" s="76"/>
      <c r="BG238" s="76"/>
      <c r="BH238" s="76"/>
    </row>
    <row r="239" spans="1:60" x14ac:dyDescent="0.25">
      <c r="A239" s="76"/>
      <c r="J239" s="76"/>
      <c r="K239" s="76"/>
      <c r="L239" s="76"/>
      <c r="M239" s="76"/>
      <c r="N239" s="76"/>
      <c r="O239" s="76"/>
      <c r="P239" s="76"/>
      <c r="Q239" s="76"/>
      <c r="R239" s="76"/>
      <c r="S239" s="76"/>
      <c r="T239" s="76"/>
      <c r="U239" s="76"/>
      <c r="V239" s="76"/>
      <c r="W239" s="76"/>
      <c r="X239" s="76"/>
      <c r="Y239" s="76"/>
      <c r="Z239" s="76"/>
      <c r="AA239" s="76"/>
      <c r="AB239" s="76"/>
      <c r="AC239" s="76"/>
      <c r="AD239" s="76"/>
      <c r="AE239" s="76"/>
      <c r="AF239" s="76"/>
      <c r="AG239" s="76"/>
      <c r="AH239" s="76"/>
      <c r="AI239" s="76"/>
      <c r="AJ239" s="76"/>
      <c r="AK239" s="76"/>
      <c r="AL239" s="76"/>
      <c r="AM239" s="76"/>
      <c r="AN239" s="76"/>
      <c r="AO239" s="76"/>
      <c r="AP239" s="76"/>
      <c r="AQ239" s="76"/>
      <c r="AR239" s="76"/>
      <c r="AS239" s="76"/>
      <c r="AT239" s="76"/>
      <c r="AU239" s="76"/>
      <c r="AV239" s="76"/>
      <c r="AW239" s="76"/>
      <c r="AX239" s="76"/>
      <c r="AY239" s="76"/>
      <c r="AZ239" s="76"/>
      <c r="BA239" s="76"/>
      <c r="BB239" s="76"/>
      <c r="BC239" s="76"/>
      <c r="BD239" s="76"/>
      <c r="BE239" s="76"/>
      <c r="BF239" s="76"/>
      <c r="BG239" s="76"/>
      <c r="BH239" s="76"/>
    </row>
    <row r="240" spans="1:60" x14ac:dyDescent="0.25">
      <c r="A240" s="76"/>
      <c r="J240" s="76"/>
      <c r="K240" s="76"/>
      <c r="L240" s="76"/>
      <c r="M240" s="76"/>
      <c r="N240" s="76"/>
      <c r="O240" s="76"/>
      <c r="P240" s="76"/>
      <c r="Q240" s="76"/>
      <c r="R240" s="76"/>
      <c r="S240" s="76"/>
      <c r="T240" s="76"/>
      <c r="U240" s="76"/>
      <c r="V240" s="76"/>
      <c r="W240" s="76"/>
      <c r="X240" s="76"/>
      <c r="Y240" s="76"/>
      <c r="Z240" s="76"/>
      <c r="AA240" s="76"/>
      <c r="AB240" s="76"/>
      <c r="AC240" s="76"/>
      <c r="AD240" s="76"/>
      <c r="AE240" s="76"/>
      <c r="AF240" s="76"/>
      <c r="AG240" s="76"/>
      <c r="AH240" s="76"/>
      <c r="AI240" s="76"/>
      <c r="AJ240" s="76"/>
      <c r="AK240" s="76"/>
      <c r="AL240" s="76"/>
      <c r="AM240" s="76"/>
      <c r="AN240" s="76"/>
      <c r="AO240" s="76"/>
      <c r="AP240" s="76"/>
      <c r="AQ240" s="76"/>
      <c r="AR240" s="76"/>
      <c r="AS240" s="76"/>
      <c r="AT240" s="76"/>
      <c r="AU240" s="76"/>
      <c r="AV240" s="76"/>
      <c r="AW240" s="76"/>
      <c r="AX240" s="76"/>
      <c r="AY240" s="76"/>
      <c r="AZ240" s="76"/>
      <c r="BA240" s="76"/>
      <c r="BB240" s="76"/>
      <c r="BC240" s="76"/>
      <c r="BD240" s="76"/>
      <c r="BE240" s="76"/>
      <c r="BF240" s="76"/>
      <c r="BG240" s="76"/>
      <c r="BH240" s="76"/>
    </row>
    <row r="241" spans="1:60" x14ac:dyDescent="0.25">
      <c r="A241" s="76"/>
      <c r="J241" s="76"/>
      <c r="K241" s="76"/>
      <c r="L241" s="76"/>
      <c r="M241" s="76"/>
      <c r="N241" s="76"/>
      <c r="O241" s="76"/>
      <c r="P241" s="76"/>
      <c r="Q241" s="76"/>
      <c r="R241" s="76"/>
      <c r="S241" s="76"/>
      <c r="T241" s="76"/>
      <c r="U241" s="76"/>
      <c r="V241" s="76"/>
      <c r="W241" s="76"/>
      <c r="X241" s="76"/>
      <c r="Y241" s="76"/>
      <c r="Z241" s="76"/>
      <c r="AA241" s="76"/>
      <c r="AB241" s="76"/>
      <c r="AC241" s="76"/>
      <c r="AD241" s="76"/>
      <c r="AE241" s="76"/>
      <c r="AF241" s="76"/>
      <c r="AG241" s="76"/>
      <c r="AH241" s="76"/>
      <c r="AI241" s="76"/>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row>
    <row r="242" spans="1:60" x14ac:dyDescent="0.25">
      <c r="A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c r="AH242" s="76"/>
      <c r="AI242" s="76"/>
      <c r="AJ242" s="76"/>
      <c r="AK242" s="76"/>
      <c r="AL242" s="76"/>
      <c r="AM242" s="76"/>
      <c r="AN242" s="76"/>
      <c r="AO242" s="76"/>
      <c r="AP242" s="76"/>
      <c r="AQ242" s="76"/>
      <c r="AR242" s="76"/>
      <c r="AS242" s="76"/>
      <c r="AT242" s="76"/>
      <c r="AU242" s="76"/>
      <c r="AV242" s="76"/>
      <c r="AW242" s="76"/>
      <c r="AX242" s="76"/>
      <c r="AY242" s="76"/>
      <c r="AZ242" s="76"/>
      <c r="BA242" s="76"/>
      <c r="BB242" s="76"/>
      <c r="BC242" s="76"/>
      <c r="BD242" s="76"/>
      <c r="BE242" s="76"/>
      <c r="BF242" s="76"/>
      <c r="BG242" s="76"/>
      <c r="BH242" s="76"/>
    </row>
    <row r="243" spans="1:60" x14ac:dyDescent="0.25">
      <c r="A243" s="76"/>
      <c r="J243" s="76"/>
      <c r="K243" s="76"/>
      <c r="L243" s="76"/>
      <c r="M243" s="76"/>
      <c r="N243" s="76"/>
      <c r="O243" s="76"/>
      <c r="P243" s="76"/>
      <c r="Q243" s="76"/>
      <c r="R243" s="76"/>
      <c r="S243" s="76"/>
      <c r="T243" s="76"/>
      <c r="U243" s="76"/>
      <c r="V243" s="76"/>
      <c r="W243" s="76"/>
      <c r="X243" s="76"/>
      <c r="Y243" s="76"/>
      <c r="Z243" s="76"/>
      <c r="AA243" s="76"/>
      <c r="AB243" s="76"/>
      <c r="AC243" s="76"/>
      <c r="AD243" s="76"/>
      <c r="AE243" s="76"/>
      <c r="AF243" s="76"/>
      <c r="AG243" s="76"/>
      <c r="AH243" s="76"/>
      <c r="AI243" s="76"/>
      <c r="AJ243" s="76"/>
      <c r="AK243" s="76"/>
      <c r="AL243" s="76"/>
      <c r="AM243" s="76"/>
      <c r="AN243" s="76"/>
      <c r="AO243" s="76"/>
      <c r="AP243" s="76"/>
      <c r="AQ243" s="76"/>
      <c r="AR243" s="76"/>
      <c r="AS243" s="76"/>
      <c r="AT243" s="76"/>
      <c r="AU243" s="76"/>
      <c r="AV243" s="76"/>
      <c r="AW243" s="76"/>
      <c r="AX243" s="76"/>
      <c r="AY243" s="76"/>
      <c r="AZ243" s="76"/>
      <c r="BA243" s="76"/>
      <c r="BB243" s="76"/>
      <c r="BC243" s="76"/>
      <c r="BD243" s="76"/>
      <c r="BE243" s="76"/>
      <c r="BF243" s="76"/>
      <c r="BG243" s="76"/>
      <c r="BH243" s="76"/>
    </row>
    <row r="244" spans="1:60" x14ac:dyDescent="0.25">
      <c r="A244" s="76"/>
      <c r="J244" s="76"/>
      <c r="K244" s="76"/>
      <c r="L244" s="76"/>
      <c r="M244" s="76"/>
      <c r="N244" s="76"/>
      <c r="O244" s="76"/>
      <c r="P244" s="76"/>
      <c r="Q244" s="76"/>
      <c r="R244" s="76"/>
      <c r="S244" s="76"/>
      <c r="T244" s="76"/>
      <c r="U244" s="76"/>
      <c r="V244" s="76"/>
      <c r="W244" s="76"/>
      <c r="X244" s="76"/>
      <c r="Y244" s="76"/>
      <c r="Z244" s="76"/>
      <c r="AA244" s="76"/>
      <c r="AB244" s="76"/>
      <c r="AC244" s="76"/>
      <c r="AD244" s="76"/>
      <c r="AE244" s="76"/>
      <c r="AF244" s="76"/>
      <c r="AG244" s="76"/>
      <c r="AH244" s="76"/>
      <c r="AI244" s="76"/>
      <c r="AJ244" s="76"/>
      <c r="AK244" s="76"/>
      <c r="AL244" s="76"/>
      <c r="AM244" s="76"/>
      <c r="AN244" s="76"/>
      <c r="AO244" s="76"/>
      <c r="AP244" s="76"/>
      <c r="AQ244" s="76"/>
      <c r="AR244" s="76"/>
      <c r="AS244" s="76"/>
      <c r="AT244" s="76"/>
      <c r="AU244" s="76"/>
      <c r="AV244" s="76"/>
      <c r="AW244" s="76"/>
      <c r="AX244" s="76"/>
      <c r="AY244" s="76"/>
      <c r="AZ244" s="76"/>
      <c r="BA244" s="76"/>
      <c r="BB244" s="76"/>
      <c r="BC244" s="76"/>
      <c r="BD244" s="76"/>
      <c r="BE244" s="76"/>
      <c r="BF244" s="76"/>
      <c r="BG244" s="76"/>
      <c r="BH244" s="76"/>
    </row>
    <row r="245" spans="1:60" x14ac:dyDescent="0.25">
      <c r="A245" s="76"/>
    </row>
    <row r="246" spans="1:60" x14ac:dyDescent="0.25">
      <c r="A246" s="76"/>
    </row>
    <row r="247" spans="1:60" x14ac:dyDescent="0.25">
      <c r="A247" s="76"/>
    </row>
    <row r="248" spans="1:60" x14ac:dyDescent="0.25">
      <c r="A248" s="76"/>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zoomScalePageLayoutView="90" workbookViewId="0">
      <selection activeCell="C7" sqref="C7"/>
    </sheetView>
  </sheetViews>
  <sheetFormatPr baseColWidth="10" defaultColWidth="10.7109375" defaultRowHeight="15" x14ac:dyDescent="0.25"/>
  <cols>
    <col min="2" max="2" width="24.140625" customWidth="1"/>
    <col min="3" max="3" width="70.140625" customWidth="1"/>
    <col min="4" max="4" width="29.7109375" customWidth="1"/>
  </cols>
  <sheetData>
    <row r="1" spans="1:37" ht="23.25" x14ac:dyDescent="0.25">
      <c r="A1" s="76"/>
      <c r="B1" s="532" t="s">
        <v>55</v>
      </c>
      <c r="C1" s="532"/>
      <c r="D1" s="532"/>
      <c r="E1" s="76"/>
      <c r="F1" s="76"/>
      <c r="G1" s="76"/>
      <c r="H1" s="76"/>
      <c r="I1" s="76"/>
      <c r="J1" s="76"/>
      <c r="K1" s="76"/>
      <c r="L1" s="76"/>
      <c r="M1" s="76"/>
      <c r="N1" s="76"/>
      <c r="O1" s="76"/>
      <c r="P1" s="76"/>
      <c r="Q1" s="76"/>
      <c r="R1" s="76"/>
      <c r="S1" s="76"/>
      <c r="T1" s="76"/>
      <c r="U1" s="76"/>
      <c r="V1" s="76"/>
      <c r="W1" s="76"/>
      <c r="X1" s="76"/>
      <c r="Y1" s="76"/>
      <c r="Z1" s="76"/>
      <c r="AA1" s="76"/>
      <c r="AB1" s="76"/>
      <c r="AC1" s="76"/>
      <c r="AD1" s="76"/>
      <c r="AE1" s="76"/>
    </row>
    <row r="2" spans="1:37"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row>
    <row r="3" spans="1:37" ht="25.5" x14ac:dyDescent="0.25">
      <c r="A3" s="76"/>
      <c r="B3" s="8"/>
      <c r="C3" s="9" t="s">
        <v>52</v>
      </c>
      <c r="D3" s="9" t="s">
        <v>4</v>
      </c>
      <c r="E3" s="76"/>
      <c r="F3" s="76"/>
      <c r="G3" s="76"/>
      <c r="H3" s="76"/>
      <c r="I3" s="76"/>
      <c r="J3" s="76"/>
      <c r="K3" s="76"/>
      <c r="L3" s="76"/>
      <c r="M3" s="76"/>
      <c r="N3" s="76"/>
      <c r="O3" s="76"/>
      <c r="P3" s="76"/>
      <c r="Q3" s="76"/>
      <c r="R3" s="76"/>
      <c r="S3" s="76"/>
      <c r="T3" s="76"/>
      <c r="U3" s="76"/>
      <c r="V3" s="76"/>
      <c r="W3" s="76"/>
      <c r="X3" s="76"/>
      <c r="Y3" s="76"/>
      <c r="Z3" s="76"/>
      <c r="AA3" s="76"/>
      <c r="AB3" s="76"/>
      <c r="AC3" s="76"/>
      <c r="AD3" s="76"/>
      <c r="AE3" s="76"/>
    </row>
    <row r="4" spans="1:37" ht="51" x14ac:dyDescent="0.25">
      <c r="A4" s="76"/>
      <c r="B4" s="10" t="s">
        <v>51</v>
      </c>
      <c r="C4" s="11" t="s">
        <v>102</v>
      </c>
      <c r="D4" s="12">
        <v>0.2</v>
      </c>
      <c r="E4" s="76"/>
      <c r="F4" s="76"/>
      <c r="G4" s="76"/>
      <c r="H4" s="76"/>
      <c r="I4" s="76"/>
      <c r="J4" s="76"/>
      <c r="K4" s="76"/>
      <c r="L4" s="76"/>
      <c r="M4" s="76"/>
      <c r="N4" s="76"/>
      <c r="O4" s="76"/>
      <c r="P4" s="76"/>
      <c r="Q4" s="76"/>
      <c r="R4" s="76"/>
      <c r="S4" s="76"/>
      <c r="T4" s="76"/>
      <c r="U4" s="76"/>
      <c r="V4" s="76"/>
      <c r="W4" s="76"/>
      <c r="X4" s="76"/>
      <c r="Y4" s="76"/>
      <c r="Z4" s="76"/>
      <c r="AA4" s="76"/>
      <c r="AB4" s="76"/>
      <c r="AC4" s="76"/>
      <c r="AD4" s="76"/>
      <c r="AE4" s="76"/>
    </row>
    <row r="5" spans="1:37" ht="51" x14ac:dyDescent="0.25">
      <c r="A5" s="76"/>
      <c r="B5" s="13" t="s">
        <v>53</v>
      </c>
      <c r="C5" s="14" t="s">
        <v>103</v>
      </c>
      <c r="D5" s="15">
        <v>0.4</v>
      </c>
      <c r="E5" s="76"/>
      <c r="F5" s="76"/>
      <c r="G5" s="76"/>
      <c r="H5" s="76"/>
      <c r="I5" s="76"/>
      <c r="J5" s="76"/>
      <c r="K5" s="76"/>
      <c r="L5" s="76"/>
      <c r="M5" s="76"/>
      <c r="N5" s="76"/>
      <c r="O5" s="76"/>
      <c r="P5" s="76"/>
      <c r="Q5" s="76"/>
      <c r="R5" s="76"/>
      <c r="S5" s="76"/>
      <c r="T5" s="76"/>
      <c r="U5" s="76"/>
      <c r="V5" s="76"/>
      <c r="W5" s="76"/>
      <c r="X5" s="76"/>
      <c r="Y5" s="76"/>
      <c r="Z5" s="76"/>
      <c r="AA5" s="76"/>
      <c r="AB5" s="76"/>
      <c r="AC5" s="76"/>
      <c r="AD5" s="76"/>
      <c r="AE5" s="76"/>
    </row>
    <row r="6" spans="1:37" ht="51" x14ac:dyDescent="0.25">
      <c r="A6" s="76"/>
      <c r="B6" s="16" t="s">
        <v>107</v>
      </c>
      <c r="C6" s="14" t="s">
        <v>104</v>
      </c>
      <c r="D6" s="15">
        <v>0.6</v>
      </c>
      <c r="E6" s="76"/>
      <c r="F6" s="76"/>
      <c r="G6" s="76"/>
      <c r="H6" s="76"/>
      <c r="I6" s="76"/>
      <c r="J6" s="76"/>
      <c r="K6" s="76"/>
      <c r="L6" s="76"/>
      <c r="M6" s="76"/>
      <c r="N6" s="76"/>
      <c r="O6" s="76"/>
      <c r="P6" s="76"/>
      <c r="Q6" s="76"/>
      <c r="R6" s="76"/>
      <c r="S6" s="76"/>
      <c r="T6" s="76"/>
      <c r="U6" s="76"/>
      <c r="V6" s="76"/>
      <c r="W6" s="76"/>
      <c r="X6" s="76"/>
      <c r="Y6" s="76"/>
      <c r="Z6" s="76"/>
      <c r="AA6" s="76"/>
      <c r="AB6" s="76"/>
      <c r="AC6" s="76"/>
      <c r="AD6" s="76"/>
      <c r="AE6" s="76"/>
    </row>
    <row r="7" spans="1:37" ht="76.5" x14ac:dyDescent="0.25">
      <c r="A7" s="76"/>
      <c r="B7" s="17" t="s">
        <v>6</v>
      </c>
      <c r="C7" s="14" t="s">
        <v>105</v>
      </c>
      <c r="D7" s="15">
        <v>0.8</v>
      </c>
      <c r="E7" s="76"/>
      <c r="F7" s="76"/>
      <c r="G7" s="76"/>
      <c r="H7" s="76"/>
      <c r="I7" s="76"/>
      <c r="J7" s="76"/>
      <c r="K7" s="76"/>
      <c r="L7" s="76"/>
      <c r="M7" s="76"/>
      <c r="N7" s="76"/>
      <c r="O7" s="76"/>
      <c r="P7" s="76"/>
      <c r="Q7" s="76"/>
      <c r="R7" s="76"/>
      <c r="S7" s="76"/>
      <c r="T7" s="76"/>
      <c r="U7" s="76"/>
      <c r="V7" s="76"/>
      <c r="W7" s="76"/>
      <c r="X7" s="76"/>
      <c r="Y7" s="76"/>
      <c r="Z7" s="76"/>
      <c r="AA7" s="76"/>
      <c r="AB7" s="76"/>
      <c r="AC7" s="76"/>
      <c r="AD7" s="76"/>
      <c r="AE7" s="76"/>
    </row>
    <row r="8" spans="1:37" ht="51" x14ac:dyDescent="0.25">
      <c r="A8" s="76"/>
      <c r="B8" s="18" t="s">
        <v>54</v>
      </c>
      <c r="C8" s="14" t="s">
        <v>106</v>
      </c>
      <c r="D8" s="15">
        <v>1</v>
      </c>
      <c r="E8" s="76"/>
      <c r="F8" s="76"/>
      <c r="G8" s="76"/>
      <c r="H8" s="76"/>
      <c r="I8" s="76"/>
      <c r="J8" s="76"/>
      <c r="K8" s="76"/>
      <c r="L8" s="76"/>
      <c r="M8" s="76"/>
      <c r="N8" s="76"/>
      <c r="O8" s="76"/>
      <c r="P8" s="76"/>
      <c r="Q8" s="76"/>
      <c r="R8" s="76"/>
      <c r="S8" s="76"/>
      <c r="T8" s="76"/>
      <c r="U8" s="76"/>
      <c r="V8" s="76"/>
      <c r="W8" s="76"/>
      <c r="X8" s="76"/>
      <c r="Y8" s="76"/>
      <c r="Z8" s="76"/>
      <c r="AA8" s="76"/>
      <c r="AB8" s="76"/>
      <c r="AC8" s="76"/>
      <c r="AD8" s="76"/>
      <c r="AE8" s="76"/>
    </row>
    <row r="9" spans="1:37" x14ac:dyDescent="0.25">
      <c r="A9" s="76"/>
      <c r="B9" s="100"/>
      <c r="C9" s="100"/>
      <c r="D9" s="100"/>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row>
    <row r="10" spans="1:37" ht="16.5" x14ac:dyDescent="0.25">
      <c r="A10" s="76"/>
      <c r="B10" s="101"/>
      <c r="C10" s="100"/>
      <c r="D10" s="100"/>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row>
    <row r="11" spans="1:37" x14ac:dyDescent="0.25">
      <c r="A11" s="76"/>
      <c r="B11" s="100"/>
      <c r="C11" s="100"/>
      <c r="D11" s="100"/>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row>
    <row r="12" spans="1:37" x14ac:dyDescent="0.25">
      <c r="A12" s="76"/>
      <c r="B12" s="100"/>
      <c r="C12" s="100"/>
      <c r="D12" s="100"/>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row>
    <row r="13" spans="1:37" x14ac:dyDescent="0.25">
      <c r="A13" s="76"/>
      <c r="B13" s="100"/>
      <c r="C13" s="100"/>
      <c r="D13" s="100"/>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row>
    <row r="14" spans="1:37" x14ac:dyDescent="0.25">
      <c r="A14" s="76"/>
      <c r="B14" s="100"/>
      <c r="C14" s="100"/>
      <c r="D14" s="100"/>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row>
    <row r="15" spans="1:37" x14ac:dyDescent="0.25">
      <c r="A15" s="76"/>
      <c r="B15" s="100"/>
      <c r="C15" s="100"/>
      <c r="D15" s="100"/>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row>
    <row r="16" spans="1:37" x14ac:dyDescent="0.25">
      <c r="A16" s="76"/>
      <c r="B16" s="100"/>
      <c r="C16" s="100"/>
      <c r="D16" s="100"/>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row>
    <row r="17" spans="1:37" x14ac:dyDescent="0.25">
      <c r="A17" s="76"/>
      <c r="B17" s="100"/>
      <c r="C17" s="100"/>
      <c r="D17" s="100"/>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row>
    <row r="18" spans="1:37" x14ac:dyDescent="0.25">
      <c r="A18" s="76"/>
      <c r="B18" s="100"/>
      <c r="C18" s="100"/>
      <c r="D18" s="100"/>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row>
    <row r="19" spans="1:37" x14ac:dyDescent="0.25">
      <c r="A19" s="76"/>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row>
    <row r="20" spans="1:37" x14ac:dyDescent="0.25">
      <c r="A20" s="76"/>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row>
    <row r="21" spans="1:37" x14ac:dyDescent="0.25">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row>
    <row r="22" spans="1:37" x14ac:dyDescent="0.25">
      <c r="A22" s="76"/>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row>
    <row r="23" spans="1:37" x14ac:dyDescent="0.25">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row>
    <row r="24" spans="1:37" x14ac:dyDescent="0.25">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row>
    <row r="25" spans="1:37" x14ac:dyDescent="0.25">
      <c r="A25" s="76"/>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row>
    <row r="26" spans="1:37" x14ac:dyDescent="0.2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row>
    <row r="27" spans="1:37" x14ac:dyDescent="0.25">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row>
    <row r="28" spans="1:37" x14ac:dyDescent="0.25">
      <c r="A28" s="76"/>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row>
    <row r="29" spans="1:37" x14ac:dyDescent="0.25">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row>
    <row r="30" spans="1:37" x14ac:dyDescent="0.25">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row>
    <row r="31" spans="1:37" x14ac:dyDescent="0.25">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row>
    <row r="32" spans="1:37" x14ac:dyDescent="0.25">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row>
    <row r="33" spans="1:31" x14ac:dyDescent="0.25">
      <c r="A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row>
    <row r="34" spans="1:31" x14ac:dyDescent="0.25">
      <c r="A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row>
    <row r="35" spans="1:31" x14ac:dyDescent="0.25">
      <c r="A35" s="76"/>
    </row>
    <row r="36" spans="1:31" x14ac:dyDescent="0.25">
      <c r="A36" s="76"/>
    </row>
    <row r="37" spans="1:31" x14ac:dyDescent="0.25">
      <c r="A37" s="76"/>
    </row>
    <row r="38" spans="1:31" x14ac:dyDescent="0.25">
      <c r="A38" s="76"/>
    </row>
    <row r="39" spans="1:31" x14ac:dyDescent="0.25">
      <c r="A39" s="76"/>
    </row>
    <row r="40" spans="1:31" x14ac:dyDescent="0.25">
      <c r="A40" s="76"/>
    </row>
    <row r="41" spans="1:31" x14ac:dyDescent="0.25">
      <c r="A41" s="76"/>
    </row>
    <row r="42" spans="1:31" x14ac:dyDescent="0.25">
      <c r="A42" s="76"/>
    </row>
    <row r="43" spans="1:31" x14ac:dyDescent="0.25">
      <c r="A43" s="76"/>
    </row>
    <row r="44" spans="1:31" x14ac:dyDescent="0.25">
      <c r="A44" s="76"/>
    </row>
    <row r="45" spans="1:31" x14ac:dyDescent="0.25">
      <c r="A45" s="76"/>
    </row>
    <row r="46" spans="1:31" x14ac:dyDescent="0.25">
      <c r="A46" s="76"/>
    </row>
    <row r="47" spans="1:31" x14ac:dyDescent="0.25">
      <c r="A47" s="76"/>
    </row>
    <row r="48" spans="1:31" x14ac:dyDescent="0.25">
      <c r="A48" s="76"/>
    </row>
    <row r="49" spans="1:1" x14ac:dyDescent="0.25">
      <c r="A49" s="76"/>
    </row>
    <row r="50" spans="1:1" x14ac:dyDescent="0.25">
      <c r="A50" s="76"/>
    </row>
    <row r="51" spans="1:1" x14ac:dyDescent="0.25">
      <c r="A51" s="76"/>
    </row>
    <row r="52" spans="1:1" x14ac:dyDescent="0.25">
      <c r="A52" s="76"/>
    </row>
    <row r="53" spans="1:1" x14ac:dyDescent="0.25">
      <c r="A53" s="76"/>
    </row>
    <row r="54" spans="1:1" x14ac:dyDescent="0.25">
      <c r="A54" s="76"/>
    </row>
    <row r="55" spans="1:1" x14ac:dyDescent="0.25">
      <c r="A55" s="76"/>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zoomScalePageLayoutView="60" workbookViewId="0">
      <selection activeCell="A6" sqref="A6"/>
    </sheetView>
  </sheetViews>
  <sheetFormatPr baseColWidth="10" defaultColWidth="10.7109375"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6"/>
      <c r="B1" s="533" t="s">
        <v>63</v>
      </c>
      <c r="C1" s="533"/>
      <c r="D1" s="533"/>
      <c r="E1" s="76"/>
      <c r="F1" s="76"/>
      <c r="G1" s="76"/>
      <c r="H1" s="76"/>
      <c r="I1" s="76"/>
      <c r="J1" s="76"/>
      <c r="K1" s="76"/>
      <c r="L1" s="76"/>
      <c r="M1" s="76"/>
      <c r="N1" s="76"/>
      <c r="O1" s="76"/>
      <c r="P1" s="76"/>
      <c r="Q1" s="76"/>
      <c r="R1" s="76"/>
      <c r="S1" s="76"/>
      <c r="T1" s="76"/>
      <c r="U1" s="76"/>
    </row>
    <row r="2" spans="1:21" x14ac:dyDescent="0.25">
      <c r="A2" s="76"/>
      <c r="B2" s="76"/>
      <c r="C2" s="76"/>
      <c r="D2" s="76"/>
      <c r="E2" s="76"/>
      <c r="F2" s="76"/>
      <c r="G2" s="76"/>
      <c r="H2" s="76"/>
      <c r="I2" s="76"/>
      <c r="J2" s="76"/>
      <c r="K2" s="76"/>
      <c r="L2" s="76"/>
      <c r="M2" s="76"/>
      <c r="N2" s="76"/>
      <c r="O2" s="76"/>
      <c r="P2" s="76"/>
      <c r="Q2" s="76"/>
      <c r="R2" s="76"/>
      <c r="S2" s="76"/>
      <c r="T2" s="76"/>
      <c r="U2" s="76"/>
    </row>
    <row r="3" spans="1:21" ht="30" x14ac:dyDescent="0.25">
      <c r="A3" s="76"/>
      <c r="B3" s="97"/>
      <c r="C3" s="29" t="s">
        <v>56</v>
      </c>
      <c r="D3" s="29" t="s">
        <v>57</v>
      </c>
      <c r="E3" s="76"/>
      <c r="F3" s="76"/>
      <c r="G3" s="76"/>
      <c r="H3" s="76"/>
      <c r="I3" s="76"/>
      <c r="J3" s="76"/>
      <c r="K3" s="76"/>
      <c r="L3" s="76"/>
      <c r="M3" s="76"/>
      <c r="N3" s="76"/>
      <c r="O3" s="76"/>
      <c r="P3" s="76"/>
      <c r="Q3" s="76"/>
      <c r="R3" s="76"/>
      <c r="S3" s="76"/>
      <c r="T3" s="76"/>
      <c r="U3" s="76"/>
    </row>
    <row r="4" spans="1:21" ht="33.75" x14ac:dyDescent="0.25">
      <c r="A4" s="96" t="s">
        <v>83</v>
      </c>
      <c r="B4" s="32" t="s">
        <v>101</v>
      </c>
      <c r="C4" s="37" t="s">
        <v>153</v>
      </c>
      <c r="D4" s="30" t="s">
        <v>97</v>
      </c>
      <c r="E4" s="76"/>
      <c r="F4" s="76"/>
      <c r="G4" s="76"/>
      <c r="H4" s="76"/>
      <c r="I4" s="76"/>
      <c r="J4" s="76"/>
      <c r="K4" s="76"/>
      <c r="L4" s="76"/>
      <c r="M4" s="76"/>
      <c r="N4" s="76"/>
      <c r="O4" s="76"/>
      <c r="P4" s="76"/>
      <c r="Q4" s="76"/>
      <c r="R4" s="76"/>
      <c r="S4" s="76"/>
      <c r="T4" s="76"/>
      <c r="U4" s="76"/>
    </row>
    <row r="5" spans="1:21" ht="67.5" x14ac:dyDescent="0.25">
      <c r="A5" s="96" t="s">
        <v>84</v>
      </c>
      <c r="B5" s="33" t="s">
        <v>59</v>
      </c>
      <c r="C5" s="38" t="s">
        <v>93</v>
      </c>
      <c r="D5" s="31" t="s">
        <v>98</v>
      </c>
      <c r="E5" s="76"/>
      <c r="F5" s="76"/>
      <c r="G5" s="76"/>
      <c r="H5" s="76"/>
      <c r="I5" s="76"/>
      <c r="J5" s="76"/>
      <c r="K5" s="76"/>
      <c r="L5" s="76"/>
      <c r="M5" s="76"/>
      <c r="N5" s="76"/>
      <c r="O5" s="76"/>
      <c r="P5" s="76"/>
      <c r="Q5" s="76"/>
      <c r="R5" s="76"/>
      <c r="S5" s="76"/>
      <c r="T5" s="76"/>
      <c r="U5" s="76"/>
    </row>
    <row r="6" spans="1:21" ht="67.5" x14ac:dyDescent="0.25">
      <c r="A6" s="96" t="s">
        <v>81</v>
      </c>
      <c r="B6" s="34" t="s">
        <v>60</v>
      </c>
      <c r="C6" s="38" t="s">
        <v>94</v>
      </c>
      <c r="D6" s="31" t="s">
        <v>100</v>
      </c>
      <c r="E6" s="76"/>
      <c r="F6" s="76"/>
      <c r="G6" s="76"/>
      <c r="H6" s="76"/>
      <c r="I6" s="76"/>
      <c r="J6" s="76"/>
      <c r="K6" s="76"/>
      <c r="L6" s="76"/>
      <c r="M6" s="76"/>
      <c r="N6" s="76"/>
      <c r="O6" s="76"/>
      <c r="P6" s="76"/>
      <c r="Q6" s="76"/>
      <c r="R6" s="76"/>
      <c r="S6" s="76"/>
      <c r="T6" s="76"/>
      <c r="U6" s="76"/>
    </row>
    <row r="7" spans="1:21" ht="101.25" x14ac:dyDescent="0.25">
      <c r="A7" s="96" t="s">
        <v>7</v>
      </c>
      <c r="B7" s="35" t="s">
        <v>61</v>
      </c>
      <c r="C7" s="38" t="s">
        <v>95</v>
      </c>
      <c r="D7" s="31" t="s">
        <v>99</v>
      </c>
      <c r="E7" s="76"/>
      <c r="F7" s="76"/>
      <c r="G7" s="76"/>
      <c r="H7" s="76"/>
      <c r="I7" s="76"/>
      <c r="J7" s="76"/>
      <c r="K7" s="76"/>
      <c r="L7" s="76"/>
      <c r="M7" s="76"/>
      <c r="N7" s="76"/>
      <c r="O7" s="76"/>
      <c r="P7" s="76"/>
      <c r="Q7" s="76"/>
      <c r="R7" s="76"/>
      <c r="S7" s="76"/>
      <c r="T7" s="76"/>
      <c r="U7" s="76"/>
    </row>
    <row r="8" spans="1:21" ht="67.5" x14ac:dyDescent="0.25">
      <c r="A8" s="96" t="s">
        <v>85</v>
      </c>
      <c r="B8" s="36" t="s">
        <v>62</v>
      </c>
      <c r="C8" s="38" t="s">
        <v>96</v>
      </c>
      <c r="D8" s="31" t="s">
        <v>118</v>
      </c>
      <c r="E8" s="76"/>
      <c r="F8" s="76"/>
      <c r="G8" s="76"/>
      <c r="H8" s="76"/>
      <c r="I8" s="76"/>
      <c r="J8" s="76"/>
      <c r="K8" s="76"/>
      <c r="L8" s="76"/>
      <c r="M8" s="76"/>
      <c r="N8" s="76"/>
      <c r="O8" s="76"/>
      <c r="P8" s="76"/>
      <c r="Q8" s="76"/>
      <c r="R8" s="76"/>
      <c r="S8" s="76"/>
      <c r="T8" s="76"/>
      <c r="U8" s="76"/>
    </row>
    <row r="9" spans="1:21" ht="20.25" x14ac:dyDescent="0.25">
      <c r="A9" s="96"/>
      <c r="B9" s="96"/>
      <c r="C9" s="98"/>
      <c r="D9" s="98"/>
      <c r="E9" s="76"/>
      <c r="F9" s="76"/>
      <c r="G9" s="76"/>
      <c r="H9" s="76"/>
      <c r="I9" s="76"/>
      <c r="J9" s="76"/>
      <c r="K9" s="76"/>
      <c r="L9" s="76"/>
      <c r="M9" s="76"/>
      <c r="N9" s="76"/>
      <c r="O9" s="76"/>
      <c r="P9" s="76"/>
      <c r="Q9" s="76"/>
      <c r="R9" s="76"/>
      <c r="S9" s="76"/>
      <c r="T9" s="76"/>
      <c r="U9" s="76"/>
    </row>
    <row r="10" spans="1:21" ht="16.5" x14ac:dyDescent="0.25">
      <c r="A10" s="96"/>
      <c r="B10" s="99"/>
      <c r="C10" s="99"/>
      <c r="D10" s="99"/>
      <c r="E10" s="76"/>
      <c r="F10" s="76"/>
      <c r="G10" s="76"/>
      <c r="H10" s="76"/>
      <c r="I10" s="76"/>
      <c r="J10" s="76"/>
      <c r="K10" s="76"/>
      <c r="L10" s="76"/>
      <c r="M10" s="76"/>
      <c r="N10" s="76"/>
      <c r="O10" s="76"/>
      <c r="P10" s="76"/>
      <c r="Q10" s="76"/>
      <c r="R10" s="76"/>
      <c r="S10" s="76"/>
      <c r="T10" s="76"/>
      <c r="U10" s="76"/>
    </row>
    <row r="11" spans="1:21" x14ac:dyDescent="0.25">
      <c r="A11" s="96"/>
      <c r="B11" s="96" t="s">
        <v>91</v>
      </c>
      <c r="C11" s="96" t="s">
        <v>141</v>
      </c>
      <c r="D11" s="96" t="s">
        <v>148</v>
      </c>
      <c r="E11" s="76"/>
      <c r="F11" s="76"/>
      <c r="G11" s="76"/>
      <c r="H11" s="76"/>
      <c r="I11" s="76"/>
      <c r="J11" s="76"/>
      <c r="K11" s="76"/>
      <c r="L11" s="76"/>
      <c r="M11" s="76"/>
      <c r="N11" s="76"/>
      <c r="O11" s="76"/>
      <c r="P11" s="76"/>
      <c r="Q11" s="76"/>
      <c r="R11" s="76"/>
      <c r="S11" s="76"/>
      <c r="T11" s="76"/>
      <c r="U11" s="76"/>
    </row>
    <row r="12" spans="1:21" x14ac:dyDescent="0.25">
      <c r="A12" s="96"/>
      <c r="B12" s="96" t="s">
        <v>89</v>
      </c>
      <c r="C12" s="96" t="s">
        <v>145</v>
      </c>
      <c r="D12" s="96" t="s">
        <v>149</v>
      </c>
      <c r="E12" s="76"/>
      <c r="F12" s="76"/>
      <c r="G12" s="76"/>
      <c r="H12" s="76"/>
      <c r="I12" s="76"/>
      <c r="J12" s="76"/>
      <c r="K12" s="76"/>
      <c r="L12" s="76"/>
      <c r="M12" s="76"/>
      <c r="N12" s="76"/>
      <c r="O12" s="76"/>
      <c r="P12" s="76"/>
      <c r="Q12" s="76"/>
      <c r="R12" s="76"/>
      <c r="S12" s="76"/>
      <c r="T12" s="76"/>
      <c r="U12" s="76"/>
    </row>
    <row r="13" spans="1:21" x14ac:dyDescent="0.25">
      <c r="A13" s="96"/>
      <c r="B13" s="96"/>
      <c r="C13" s="96" t="s">
        <v>144</v>
      </c>
      <c r="D13" s="96" t="s">
        <v>150</v>
      </c>
      <c r="E13" s="76"/>
      <c r="F13" s="76"/>
      <c r="G13" s="76"/>
      <c r="H13" s="76"/>
      <c r="I13" s="76"/>
      <c r="J13" s="76"/>
      <c r="K13" s="76"/>
      <c r="L13" s="76"/>
      <c r="M13" s="76"/>
      <c r="N13" s="76"/>
      <c r="O13" s="76"/>
      <c r="P13" s="76"/>
      <c r="Q13" s="76"/>
      <c r="R13" s="76"/>
      <c r="S13" s="76"/>
      <c r="T13" s="76"/>
      <c r="U13" s="76"/>
    </row>
    <row r="14" spans="1:21" x14ac:dyDescent="0.25">
      <c r="A14" s="96"/>
      <c r="B14" s="96"/>
      <c r="C14" s="96" t="s">
        <v>146</v>
      </c>
      <c r="D14" s="96" t="s">
        <v>151</v>
      </c>
      <c r="E14" s="76"/>
      <c r="F14" s="76"/>
      <c r="G14" s="76"/>
      <c r="H14" s="76"/>
      <c r="I14" s="76"/>
      <c r="J14" s="76"/>
      <c r="K14" s="76"/>
      <c r="L14" s="76"/>
      <c r="M14" s="76"/>
      <c r="N14" s="76"/>
      <c r="O14" s="76"/>
      <c r="P14" s="76"/>
      <c r="Q14" s="76"/>
      <c r="R14" s="76"/>
      <c r="S14" s="76"/>
      <c r="T14" s="76"/>
      <c r="U14" s="76"/>
    </row>
    <row r="15" spans="1:21" x14ac:dyDescent="0.25">
      <c r="A15" s="96"/>
      <c r="B15" s="96"/>
      <c r="C15" s="96" t="s">
        <v>147</v>
      </c>
      <c r="D15" s="96" t="s">
        <v>152</v>
      </c>
      <c r="E15" s="76"/>
      <c r="F15" s="76"/>
      <c r="G15" s="76"/>
      <c r="H15" s="76"/>
      <c r="I15" s="76"/>
      <c r="J15" s="76"/>
      <c r="K15" s="76"/>
      <c r="L15" s="76"/>
      <c r="M15" s="76"/>
      <c r="N15" s="76"/>
      <c r="O15" s="76"/>
      <c r="P15" s="76"/>
      <c r="Q15" s="76"/>
      <c r="R15" s="76"/>
      <c r="S15" s="76"/>
      <c r="T15" s="76"/>
      <c r="U15" s="76"/>
    </row>
    <row r="16" spans="1:21" x14ac:dyDescent="0.25">
      <c r="A16" s="96"/>
      <c r="B16" s="96"/>
      <c r="C16" s="96"/>
      <c r="D16" s="96"/>
      <c r="E16" s="76"/>
      <c r="F16" s="76"/>
      <c r="G16" s="76"/>
      <c r="H16" s="76"/>
      <c r="I16" s="76"/>
      <c r="J16" s="76"/>
      <c r="K16" s="76"/>
      <c r="L16" s="76"/>
      <c r="M16" s="76"/>
      <c r="N16" s="76"/>
      <c r="O16" s="76"/>
    </row>
    <row r="17" spans="1:15" x14ac:dyDescent="0.25">
      <c r="A17" s="96"/>
      <c r="B17" s="96"/>
      <c r="C17" s="96"/>
      <c r="D17" s="96"/>
      <c r="E17" s="76"/>
      <c r="F17" s="76"/>
      <c r="G17" s="76"/>
      <c r="H17" s="76"/>
      <c r="I17" s="76"/>
      <c r="J17" s="76"/>
      <c r="K17" s="76"/>
      <c r="L17" s="76"/>
      <c r="M17" s="76"/>
      <c r="N17" s="76"/>
      <c r="O17" s="76"/>
    </row>
    <row r="18" spans="1:15" x14ac:dyDescent="0.25">
      <c r="A18" s="96"/>
      <c r="B18" s="100"/>
      <c r="C18" s="100"/>
      <c r="D18" s="100"/>
      <c r="E18" s="76"/>
      <c r="F18" s="76"/>
      <c r="G18" s="76"/>
      <c r="H18" s="76"/>
      <c r="I18" s="76"/>
      <c r="J18" s="76"/>
      <c r="K18" s="76"/>
      <c r="L18" s="76"/>
      <c r="M18" s="76"/>
      <c r="N18" s="76"/>
      <c r="O18" s="76"/>
    </row>
    <row r="19" spans="1:15" x14ac:dyDescent="0.25">
      <c r="A19" s="96"/>
      <c r="B19" s="100"/>
      <c r="C19" s="100"/>
      <c r="D19" s="100"/>
      <c r="E19" s="76"/>
      <c r="F19" s="76"/>
      <c r="G19" s="76"/>
      <c r="H19" s="76"/>
      <c r="I19" s="76"/>
      <c r="J19" s="76"/>
      <c r="K19" s="76"/>
      <c r="L19" s="76"/>
      <c r="M19" s="76"/>
      <c r="N19" s="76"/>
      <c r="O19" s="76"/>
    </row>
    <row r="20" spans="1:15" x14ac:dyDescent="0.25">
      <c r="A20" s="96"/>
      <c r="B20" s="100"/>
      <c r="C20" s="100"/>
      <c r="D20" s="100"/>
      <c r="E20" s="76"/>
      <c r="F20" s="76"/>
      <c r="G20" s="76"/>
      <c r="H20" s="76"/>
      <c r="I20" s="76"/>
      <c r="J20" s="76"/>
      <c r="K20" s="76"/>
      <c r="L20" s="76"/>
      <c r="M20" s="76"/>
      <c r="N20" s="76"/>
      <c r="O20" s="76"/>
    </row>
    <row r="21" spans="1:15" x14ac:dyDescent="0.25">
      <c r="A21" s="96"/>
      <c r="B21" s="100"/>
      <c r="C21" s="100"/>
      <c r="D21" s="100"/>
      <c r="E21" s="76"/>
      <c r="F21" s="76"/>
      <c r="G21" s="76"/>
      <c r="H21" s="76"/>
      <c r="I21" s="76"/>
      <c r="J21" s="76"/>
      <c r="K21" s="76"/>
      <c r="L21" s="76"/>
      <c r="M21" s="76"/>
      <c r="N21" s="76"/>
      <c r="O21" s="76"/>
    </row>
    <row r="22" spans="1:15" ht="20.25" x14ac:dyDescent="0.25">
      <c r="A22" s="96"/>
      <c r="B22" s="96"/>
      <c r="C22" s="98"/>
      <c r="D22" s="98"/>
      <c r="E22" s="76"/>
      <c r="F22" s="76"/>
      <c r="G22" s="76"/>
      <c r="H22" s="76"/>
      <c r="I22" s="76"/>
      <c r="J22" s="76"/>
      <c r="K22" s="76"/>
      <c r="L22" s="76"/>
      <c r="M22" s="76"/>
      <c r="N22" s="76"/>
      <c r="O22" s="76"/>
    </row>
    <row r="23" spans="1:15" ht="20.25" x14ac:dyDescent="0.25">
      <c r="A23" s="96"/>
      <c r="B23" s="96"/>
      <c r="C23" s="98"/>
      <c r="D23" s="98"/>
      <c r="E23" s="76"/>
      <c r="F23" s="76"/>
      <c r="G23" s="76"/>
      <c r="H23" s="76"/>
      <c r="I23" s="76"/>
      <c r="J23" s="76"/>
      <c r="K23" s="76"/>
      <c r="L23" s="76"/>
      <c r="M23" s="76"/>
      <c r="N23" s="76"/>
      <c r="O23" s="76"/>
    </row>
    <row r="24" spans="1:15" ht="20.25" x14ac:dyDescent="0.25">
      <c r="A24" s="96"/>
      <c r="B24" s="96"/>
      <c r="C24" s="98"/>
      <c r="D24" s="98"/>
      <c r="E24" s="76"/>
      <c r="F24" s="76"/>
      <c r="G24" s="76"/>
      <c r="H24" s="76"/>
      <c r="I24" s="76"/>
      <c r="J24" s="76"/>
      <c r="K24" s="76"/>
      <c r="L24" s="76"/>
      <c r="M24" s="76"/>
      <c r="N24" s="76"/>
      <c r="O24" s="76"/>
    </row>
    <row r="25" spans="1:15" ht="20.25" x14ac:dyDescent="0.25">
      <c r="A25" s="96"/>
      <c r="B25" s="96"/>
      <c r="C25" s="98"/>
      <c r="D25" s="98"/>
      <c r="E25" s="76"/>
      <c r="F25" s="76"/>
      <c r="G25" s="76"/>
      <c r="H25" s="76"/>
      <c r="I25" s="76"/>
      <c r="J25" s="76"/>
      <c r="K25" s="76"/>
      <c r="L25" s="76"/>
      <c r="M25" s="76"/>
      <c r="N25" s="76"/>
      <c r="O25" s="76"/>
    </row>
    <row r="26" spans="1:15" ht="20.25" x14ac:dyDescent="0.25">
      <c r="A26" s="96"/>
      <c r="B26" s="96"/>
      <c r="C26" s="98"/>
      <c r="D26" s="98"/>
      <c r="E26" s="76"/>
      <c r="F26" s="76"/>
      <c r="G26" s="76"/>
      <c r="H26" s="76"/>
      <c r="I26" s="76"/>
      <c r="J26" s="76"/>
      <c r="K26" s="76"/>
      <c r="L26" s="76"/>
      <c r="M26" s="76"/>
      <c r="N26" s="76"/>
      <c r="O26" s="76"/>
    </row>
    <row r="27" spans="1:15" ht="20.25" x14ac:dyDescent="0.25">
      <c r="A27" s="96"/>
      <c r="B27" s="96"/>
      <c r="C27" s="98"/>
      <c r="D27" s="98"/>
      <c r="E27" s="76"/>
      <c r="F27" s="76"/>
      <c r="G27" s="76"/>
      <c r="H27" s="76"/>
      <c r="I27" s="76"/>
      <c r="J27" s="76"/>
      <c r="K27" s="76"/>
      <c r="L27" s="76"/>
      <c r="M27" s="76"/>
      <c r="N27" s="76"/>
      <c r="O27" s="76"/>
    </row>
    <row r="28" spans="1:15" ht="20.25" x14ac:dyDescent="0.25">
      <c r="A28" s="96"/>
      <c r="B28" s="96"/>
      <c r="C28" s="98"/>
      <c r="D28" s="98"/>
      <c r="E28" s="76"/>
      <c r="F28" s="76"/>
      <c r="G28" s="76"/>
      <c r="H28" s="76"/>
      <c r="I28" s="76"/>
      <c r="J28" s="76"/>
      <c r="K28" s="76"/>
      <c r="L28" s="76"/>
      <c r="M28" s="76"/>
      <c r="N28" s="76"/>
      <c r="O28" s="76"/>
    </row>
    <row r="29" spans="1:15" ht="20.25" x14ac:dyDescent="0.25">
      <c r="A29" s="96"/>
      <c r="B29" s="96"/>
      <c r="C29" s="98"/>
      <c r="D29" s="98"/>
      <c r="E29" s="76"/>
      <c r="F29" s="76"/>
      <c r="G29" s="76"/>
      <c r="H29" s="76"/>
      <c r="I29" s="76"/>
      <c r="J29" s="76"/>
      <c r="K29" s="76"/>
      <c r="L29" s="76"/>
      <c r="M29" s="76"/>
      <c r="N29" s="76"/>
      <c r="O29" s="76"/>
    </row>
    <row r="30" spans="1:15" ht="20.25" x14ac:dyDescent="0.25">
      <c r="A30" s="96"/>
      <c r="B30" s="96"/>
      <c r="C30" s="98"/>
      <c r="D30" s="98"/>
      <c r="E30" s="76"/>
      <c r="F30" s="76"/>
      <c r="G30" s="76"/>
      <c r="H30" s="76"/>
      <c r="I30" s="76"/>
      <c r="J30" s="76"/>
      <c r="K30" s="76"/>
      <c r="L30" s="76"/>
      <c r="M30" s="76"/>
      <c r="N30" s="76"/>
      <c r="O30" s="76"/>
    </row>
    <row r="31" spans="1:15" ht="20.25" x14ac:dyDescent="0.25">
      <c r="A31" s="96"/>
      <c r="B31" s="96"/>
      <c r="C31" s="98"/>
      <c r="D31" s="98"/>
      <c r="E31" s="76"/>
      <c r="F31" s="76"/>
      <c r="G31" s="76"/>
      <c r="H31" s="76"/>
      <c r="I31" s="76"/>
      <c r="J31" s="76"/>
      <c r="K31" s="76"/>
      <c r="L31" s="76"/>
      <c r="M31" s="76"/>
      <c r="N31" s="76"/>
      <c r="O31" s="76"/>
    </row>
    <row r="32" spans="1:15" ht="20.25" x14ac:dyDescent="0.25">
      <c r="A32" s="96"/>
      <c r="B32" s="96"/>
      <c r="C32" s="98"/>
      <c r="D32" s="98"/>
      <c r="E32" s="76"/>
      <c r="F32" s="76"/>
      <c r="G32" s="76"/>
      <c r="H32" s="76"/>
      <c r="I32" s="76"/>
      <c r="J32" s="76"/>
      <c r="K32" s="76"/>
      <c r="L32" s="76"/>
      <c r="M32" s="76"/>
      <c r="N32" s="76"/>
      <c r="O32" s="76"/>
    </row>
    <row r="33" spans="1:15" ht="20.25" x14ac:dyDescent="0.25">
      <c r="A33" s="96"/>
      <c r="B33" s="96"/>
      <c r="C33" s="98"/>
      <c r="D33" s="98"/>
      <c r="E33" s="76"/>
      <c r="F33" s="76"/>
      <c r="G33" s="76"/>
      <c r="H33" s="76"/>
      <c r="I33" s="76"/>
      <c r="J33" s="76"/>
      <c r="K33" s="76"/>
      <c r="L33" s="76"/>
      <c r="M33" s="76"/>
      <c r="N33" s="76"/>
      <c r="O33" s="76"/>
    </row>
    <row r="34" spans="1:15" ht="20.25" x14ac:dyDescent="0.25">
      <c r="A34" s="96"/>
      <c r="B34" s="96"/>
      <c r="C34" s="98"/>
      <c r="D34" s="98"/>
      <c r="E34" s="76"/>
      <c r="F34" s="76"/>
      <c r="G34" s="76"/>
      <c r="H34" s="76"/>
      <c r="I34" s="76"/>
      <c r="J34" s="76"/>
      <c r="K34" s="76"/>
      <c r="L34" s="76"/>
      <c r="M34" s="76"/>
      <c r="N34" s="76"/>
      <c r="O34" s="76"/>
    </row>
    <row r="35" spans="1:15" ht="20.25" x14ac:dyDescent="0.25">
      <c r="A35" s="96"/>
      <c r="B35" s="96"/>
      <c r="C35" s="98"/>
      <c r="D35" s="98"/>
      <c r="E35" s="76"/>
      <c r="F35" s="76"/>
      <c r="G35" s="76"/>
      <c r="H35" s="76"/>
      <c r="I35" s="76"/>
      <c r="J35" s="76"/>
      <c r="K35" s="76"/>
      <c r="L35" s="76"/>
      <c r="M35" s="76"/>
      <c r="N35" s="76"/>
      <c r="O35" s="76"/>
    </row>
    <row r="36" spans="1:15" ht="20.25" x14ac:dyDescent="0.25">
      <c r="A36" s="96"/>
      <c r="B36" s="96"/>
      <c r="C36" s="98"/>
      <c r="D36" s="98"/>
      <c r="E36" s="76"/>
      <c r="F36" s="76"/>
      <c r="G36" s="76"/>
      <c r="H36" s="76"/>
      <c r="I36" s="76"/>
      <c r="J36" s="76"/>
      <c r="K36" s="76"/>
      <c r="L36" s="76"/>
      <c r="M36" s="76"/>
      <c r="N36" s="76"/>
      <c r="O36" s="76"/>
    </row>
    <row r="37" spans="1:15" ht="20.25" x14ac:dyDescent="0.25">
      <c r="A37" s="96"/>
      <c r="B37" s="96"/>
      <c r="C37" s="98"/>
      <c r="D37" s="98"/>
      <c r="E37" s="76"/>
      <c r="F37" s="76"/>
      <c r="G37" s="76"/>
      <c r="H37" s="76"/>
      <c r="I37" s="76"/>
      <c r="J37" s="76"/>
      <c r="K37" s="76"/>
      <c r="L37" s="76"/>
      <c r="M37" s="76"/>
      <c r="N37" s="76"/>
      <c r="O37" s="76"/>
    </row>
    <row r="38" spans="1:15" ht="20.25" x14ac:dyDescent="0.25">
      <c r="A38" s="96"/>
      <c r="B38" s="96"/>
      <c r="C38" s="98"/>
      <c r="D38" s="98"/>
      <c r="E38" s="76"/>
      <c r="F38" s="76"/>
      <c r="G38" s="76"/>
      <c r="H38" s="76"/>
      <c r="I38" s="76"/>
      <c r="J38" s="76"/>
      <c r="K38" s="76"/>
      <c r="L38" s="76"/>
      <c r="M38" s="76"/>
      <c r="N38" s="76"/>
      <c r="O38" s="76"/>
    </row>
    <row r="39" spans="1:15" ht="20.25" x14ac:dyDescent="0.25">
      <c r="A39" s="96"/>
      <c r="B39" s="96"/>
      <c r="C39" s="98"/>
      <c r="D39" s="98"/>
      <c r="E39" s="76"/>
      <c r="F39" s="76"/>
      <c r="G39" s="76"/>
      <c r="H39" s="76"/>
      <c r="I39" s="76"/>
      <c r="J39" s="76"/>
      <c r="K39" s="76"/>
      <c r="L39" s="76"/>
      <c r="M39" s="76"/>
      <c r="N39" s="76"/>
      <c r="O39" s="76"/>
    </row>
    <row r="40" spans="1:15" ht="20.25" x14ac:dyDescent="0.25">
      <c r="A40" s="96"/>
      <c r="B40" s="96"/>
      <c r="C40" s="98"/>
      <c r="D40" s="98"/>
      <c r="E40" s="76"/>
      <c r="F40" s="76"/>
      <c r="G40" s="76"/>
      <c r="H40" s="76"/>
      <c r="I40" s="76"/>
      <c r="J40" s="76"/>
      <c r="K40" s="76"/>
      <c r="L40" s="76"/>
      <c r="M40" s="76"/>
      <c r="N40" s="76"/>
      <c r="O40" s="76"/>
    </row>
    <row r="41" spans="1:15" ht="20.25" x14ac:dyDescent="0.25">
      <c r="A41" s="96"/>
      <c r="B41" s="96"/>
      <c r="C41" s="98"/>
      <c r="D41" s="98"/>
      <c r="E41" s="76"/>
      <c r="F41" s="76"/>
      <c r="G41" s="76"/>
      <c r="H41" s="76"/>
      <c r="I41" s="76"/>
      <c r="J41" s="76"/>
      <c r="K41" s="76"/>
      <c r="L41" s="76"/>
      <c r="M41" s="76"/>
      <c r="N41" s="76"/>
      <c r="O41" s="76"/>
    </row>
    <row r="42" spans="1:15" ht="20.25" x14ac:dyDescent="0.25">
      <c r="A42" s="96"/>
      <c r="B42" s="96"/>
      <c r="C42" s="98"/>
      <c r="D42" s="98"/>
      <c r="E42" s="76"/>
      <c r="F42" s="76"/>
      <c r="G42" s="76"/>
      <c r="H42" s="76"/>
      <c r="I42" s="76"/>
      <c r="J42" s="76"/>
      <c r="K42" s="76"/>
      <c r="L42" s="76"/>
      <c r="M42" s="76"/>
      <c r="N42" s="76"/>
      <c r="O42" s="76"/>
    </row>
    <row r="43" spans="1:15" ht="20.25" x14ac:dyDescent="0.25">
      <c r="A43" s="96"/>
      <c r="B43" s="96"/>
      <c r="C43" s="98"/>
      <c r="D43" s="98"/>
      <c r="E43" s="76"/>
      <c r="F43" s="76"/>
      <c r="G43" s="76"/>
      <c r="H43" s="76"/>
      <c r="I43" s="76"/>
      <c r="J43" s="76"/>
      <c r="K43" s="76"/>
      <c r="L43" s="76"/>
      <c r="M43" s="76"/>
      <c r="N43" s="76"/>
      <c r="O43" s="76"/>
    </row>
    <row r="44" spans="1:15" ht="20.25" x14ac:dyDescent="0.25">
      <c r="A44" s="96"/>
      <c r="B44" s="96"/>
      <c r="C44" s="98"/>
      <c r="D44" s="98"/>
      <c r="E44" s="76"/>
      <c r="F44" s="76"/>
      <c r="G44" s="76"/>
      <c r="H44" s="76"/>
      <c r="I44" s="76"/>
      <c r="J44" s="76"/>
      <c r="K44" s="76"/>
      <c r="L44" s="76"/>
      <c r="M44" s="76"/>
      <c r="N44" s="76"/>
      <c r="O44" s="76"/>
    </row>
    <row r="45" spans="1:15" ht="20.25" x14ac:dyDescent="0.25">
      <c r="A45" s="96"/>
      <c r="B45" s="96"/>
      <c r="C45" s="98"/>
      <c r="D45" s="98"/>
      <c r="E45" s="76"/>
      <c r="F45" s="76"/>
      <c r="G45" s="76"/>
      <c r="H45" s="76"/>
      <c r="I45" s="76"/>
      <c r="J45" s="76"/>
      <c r="K45" s="76"/>
      <c r="L45" s="76"/>
      <c r="M45" s="76"/>
      <c r="N45" s="76"/>
      <c r="O45" s="76"/>
    </row>
    <row r="46" spans="1:15" ht="20.25" x14ac:dyDescent="0.25">
      <c r="A46" s="96"/>
      <c r="B46" s="96"/>
      <c r="C46" s="98"/>
      <c r="D46" s="98"/>
      <c r="E46" s="76"/>
      <c r="F46" s="76"/>
      <c r="G46" s="76"/>
      <c r="H46" s="76"/>
      <c r="I46" s="76"/>
      <c r="J46" s="76"/>
      <c r="K46" s="76"/>
      <c r="L46" s="76"/>
      <c r="M46" s="76"/>
      <c r="N46" s="76"/>
      <c r="O46" s="76"/>
    </row>
    <row r="47" spans="1:15" ht="20.25" x14ac:dyDescent="0.25">
      <c r="A47" s="96"/>
      <c r="B47" s="96"/>
      <c r="C47" s="98"/>
      <c r="D47" s="98"/>
      <c r="E47" s="76"/>
      <c r="F47" s="76"/>
      <c r="G47" s="76"/>
      <c r="H47" s="76"/>
      <c r="I47" s="76"/>
      <c r="J47" s="76"/>
      <c r="K47" s="76"/>
      <c r="L47" s="76"/>
      <c r="M47" s="76"/>
      <c r="N47" s="76"/>
      <c r="O47" s="76"/>
    </row>
    <row r="48" spans="1:15" ht="20.25" x14ac:dyDescent="0.25">
      <c r="A48" s="96"/>
      <c r="B48" s="96"/>
      <c r="C48" s="98"/>
      <c r="D48" s="98"/>
      <c r="E48" s="76"/>
      <c r="F48" s="76"/>
      <c r="G48" s="76"/>
      <c r="H48" s="76"/>
      <c r="I48" s="76"/>
      <c r="J48" s="76"/>
      <c r="K48" s="76"/>
      <c r="L48" s="76"/>
      <c r="M48" s="76"/>
      <c r="N48" s="76"/>
      <c r="O48" s="76"/>
    </row>
    <row r="49" spans="1:15" ht="20.25" x14ac:dyDescent="0.25">
      <c r="A49" s="96"/>
      <c r="B49" s="96"/>
      <c r="C49" s="98"/>
      <c r="D49" s="98"/>
      <c r="E49" s="76"/>
      <c r="F49" s="76"/>
      <c r="G49" s="76"/>
      <c r="H49" s="76"/>
      <c r="I49" s="76"/>
      <c r="J49" s="76"/>
      <c r="K49" s="76"/>
      <c r="L49" s="76"/>
      <c r="M49" s="76"/>
      <c r="N49" s="76"/>
      <c r="O49" s="76"/>
    </row>
    <row r="50" spans="1:15" ht="20.25" x14ac:dyDescent="0.25">
      <c r="A50" s="96"/>
      <c r="B50" s="96"/>
      <c r="C50" s="98"/>
      <c r="D50" s="98"/>
      <c r="E50" s="76"/>
      <c r="F50" s="76"/>
      <c r="G50" s="76"/>
      <c r="H50" s="76"/>
      <c r="I50" s="76"/>
      <c r="J50" s="76"/>
      <c r="K50" s="76"/>
      <c r="L50" s="76"/>
      <c r="M50" s="76"/>
      <c r="N50" s="76"/>
      <c r="O50" s="76"/>
    </row>
    <row r="51" spans="1:15" ht="20.25" x14ac:dyDescent="0.25">
      <c r="A51" s="96"/>
      <c r="B51" s="96"/>
      <c r="C51" s="98"/>
      <c r="D51" s="98"/>
      <c r="E51" s="76"/>
      <c r="F51" s="76"/>
      <c r="G51" s="76"/>
      <c r="H51" s="76"/>
      <c r="I51" s="76"/>
      <c r="J51" s="76"/>
      <c r="K51" s="76"/>
      <c r="L51" s="76"/>
      <c r="M51" s="76"/>
      <c r="N51" s="76"/>
      <c r="O51" s="76"/>
    </row>
    <row r="52" spans="1:15" ht="20.25" x14ac:dyDescent="0.25">
      <c r="A52" s="96"/>
      <c r="B52" s="20"/>
      <c r="C52" s="27"/>
      <c r="D52" s="27"/>
    </row>
    <row r="53" spans="1:15" ht="20.25" x14ac:dyDescent="0.25">
      <c r="A53" s="96"/>
      <c r="B53" s="20"/>
      <c r="C53" s="27"/>
      <c r="D53" s="27"/>
    </row>
    <row r="54" spans="1:15" ht="20.25" x14ac:dyDescent="0.25">
      <c r="A54" s="96"/>
      <c r="B54" s="20"/>
      <c r="C54" s="27"/>
      <c r="D54" s="27"/>
    </row>
    <row r="55" spans="1:15" ht="20.25" x14ac:dyDescent="0.25">
      <c r="A55" s="96"/>
      <c r="B55" s="20"/>
      <c r="C55" s="27"/>
      <c r="D55" s="27"/>
    </row>
    <row r="56" spans="1:15" ht="20.25" x14ac:dyDescent="0.25">
      <c r="A56" s="96"/>
      <c r="B56" s="20"/>
      <c r="C56" s="27"/>
      <c r="D56" s="27"/>
    </row>
    <row r="57" spans="1:15" ht="20.25" x14ac:dyDescent="0.25">
      <c r="A57" s="96"/>
      <c r="B57" s="20"/>
      <c r="C57" s="27"/>
      <c r="D57" s="27"/>
    </row>
    <row r="58" spans="1:15" ht="20.25" x14ac:dyDescent="0.25">
      <c r="A58" s="96"/>
      <c r="B58" s="20"/>
      <c r="C58" s="27"/>
      <c r="D58" s="27"/>
    </row>
    <row r="59" spans="1:15" ht="20.25" x14ac:dyDescent="0.25">
      <c r="A59" s="96"/>
      <c r="B59" s="20"/>
      <c r="C59" s="27"/>
      <c r="D59" s="27"/>
    </row>
    <row r="60" spans="1:15" ht="20.25" x14ac:dyDescent="0.25">
      <c r="A60" s="96"/>
      <c r="B60" s="20"/>
      <c r="C60" s="27"/>
      <c r="D60" s="27"/>
    </row>
    <row r="61" spans="1:15" ht="20.25" x14ac:dyDescent="0.25">
      <c r="A61" s="96"/>
      <c r="B61" s="20"/>
      <c r="C61" s="27"/>
      <c r="D61" s="27"/>
    </row>
    <row r="62" spans="1:15" ht="20.25" x14ac:dyDescent="0.25">
      <c r="A62" s="96"/>
      <c r="B62" s="20"/>
      <c r="C62" s="27"/>
      <c r="D62" s="27"/>
    </row>
    <row r="63" spans="1:15" ht="20.25" x14ac:dyDescent="0.25">
      <c r="A63" s="96"/>
      <c r="B63" s="20"/>
      <c r="C63" s="27"/>
      <c r="D63" s="27"/>
    </row>
    <row r="64" spans="1:15" ht="20.25" x14ac:dyDescent="0.25">
      <c r="A64" s="96"/>
      <c r="B64" s="20"/>
      <c r="C64" s="27"/>
      <c r="D64" s="27"/>
    </row>
    <row r="65" spans="1:4" ht="20.25" x14ac:dyDescent="0.25">
      <c r="A65" s="96"/>
      <c r="B65" s="20"/>
      <c r="C65" s="27"/>
      <c r="D65" s="27"/>
    </row>
    <row r="66" spans="1:4" ht="20.25" x14ac:dyDescent="0.25">
      <c r="A66" s="96"/>
      <c r="B66" s="20"/>
      <c r="C66" s="27"/>
      <c r="D66" s="27"/>
    </row>
    <row r="67" spans="1:4" ht="20.25" x14ac:dyDescent="0.25">
      <c r="A67" s="96"/>
      <c r="B67" s="20"/>
      <c r="C67" s="27"/>
      <c r="D67" s="27"/>
    </row>
    <row r="68" spans="1:4" ht="20.25" x14ac:dyDescent="0.25">
      <c r="A68" s="96"/>
      <c r="B68" s="20"/>
      <c r="C68" s="27"/>
      <c r="D68" s="27"/>
    </row>
    <row r="69" spans="1:4" ht="20.25" x14ac:dyDescent="0.25">
      <c r="A69" s="96"/>
      <c r="B69" s="20"/>
      <c r="C69" s="27"/>
      <c r="D69" s="27"/>
    </row>
    <row r="70" spans="1:4" ht="20.25" x14ac:dyDescent="0.25">
      <c r="A70" s="96"/>
      <c r="B70" s="20"/>
      <c r="C70" s="27"/>
      <c r="D70" s="27"/>
    </row>
    <row r="71" spans="1:4" ht="20.25" x14ac:dyDescent="0.25">
      <c r="A71" s="96"/>
      <c r="B71" s="20"/>
      <c r="C71" s="27"/>
      <c r="D71" s="27"/>
    </row>
    <row r="72" spans="1:4" ht="20.25" x14ac:dyDescent="0.25">
      <c r="A72" s="96"/>
      <c r="B72" s="20"/>
      <c r="C72" s="27"/>
      <c r="D72" s="27"/>
    </row>
    <row r="73" spans="1:4" ht="20.25" x14ac:dyDescent="0.25">
      <c r="A73" s="96"/>
      <c r="B73" s="20"/>
      <c r="C73" s="27"/>
      <c r="D73" s="27"/>
    </row>
    <row r="74" spans="1:4" ht="20.25" x14ac:dyDescent="0.25">
      <c r="A74" s="96"/>
      <c r="B74" s="20"/>
      <c r="C74" s="27"/>
      <c r="D74" s="27"/>
    </row>
    <row r="75" spans="1:4" ht="20.25" x14ac:dyDescent="0.25">
      <c r="A75" s="96"/>
      <c r="B75" s="20"/>
      <c r="C75" s="27"/>
      <c r="D75" s="27"/>
    </row>
    <row r="76" spans="1:4" ht="20.25" x14ac:dyDescent="0.25">
      <c r="A76" s="96"/>
      <c r="B76" s="20"/>
      <c r="C76" s="27"/>
      <c r="D76" s="27"/>
    </row>
    <row r="77" spans="1:4" ht="20.25" x14ac:dyDescent="0.25">
      <c r="A77" s="96"/>
      <c r="B77" s="20"/>
      <c r="C77" s="27"/>
      <c r="D77" s="27"/>
    </row>
    <row r="78" spans="1:4" ht="20.25" x14ac:dyDescent="0.25">
      <c r="A78" s="96"/>
      <c r="B78" s="20"/>
      <c r="C78" s="27"/>
      <c r="D78" s="27"/>
    </row>
    <row r="79" spans="1:4" ht="20.25" x14ac:dyDescent="0.25">
      <c r="A79" s="96"/>
      <c r="B79" s="20"/>
      <c r="C79" s="27"/>
      <c r="D79" s="27"/>
    </row>
    <row r="80" spans="1:4" ht="20.25" x14ac:dyDescent="0.25">
      <c r="A80" s="96"/>
      <c r="B80" s="20"/>
      <c r="C80" s="27"/>
      <c r="D80" s="27"/>
    </row>
    <row r="81" spans="1:4" ht="20.25" x14ac:dyDescent="0.25">
      <c r="A81" s="96"/>
      <c r="B81" s="20"/>
      <c r="C81" s="27"/>
      <c r="D81" s="27"/>
    </row>
    <row r="82" spans="1:4" ht="20.25" x14ac:dyDescent="0.25">
      <c r="A82" s="96"/>
      <c r="B82" s="20"/>
      <c r="C82" s="27"/>
      <c r="D82" s="27"/>
    </row>
    <row r="83" spans="1:4" ht="20.25" x14ac:dyDescent="0.25">
      <c r="A83" s="96"/>
      <c r="B83" s="20"/>
      <c r="C83" s="27"/>
      <c r="D83" s="27"/>
    </row>
    <row r="84" spans="1:4" ht="20.25" x14ac:dyDescent="0.25">
      <c r="A84" s="96"/>
      <c r="B84" s="20"/>
      <c r="C84" s="27"/>
      <c r="D84" s="27"/>
    </row>
    <row r="85" spans="1:4" ht="20.25" x14ac:dyDescent="0.25">
      <c r="A85" s="96"/>
      <c r="B85" s="20"/>
      <c r="C85" s="27"/>
      <c r="D85" s="27"/>
    </row>
    <row r="86" spans="1:4" ht="20.25" x14ac:dyDescent="0.25">
      <c r="A86" s="96"/>
      <c r="B86" s="20"/>
      <c r="C86" s="27"/>
      <c r="D86" s="27"/>
    </row>
    <row r="87" spans="1:4" ht="20.25" x14ac:dyDescent="0.25">
      <c r="A87" s="96"/>
      <c r="B87" s="20"/>
      <c r="C87" s="27"/>
      <c r="D87" s="27"/>
    </row>
    <row r="88" spans="1:4" ht="20.25" x14ac:dyDescent="0.25">
      <c r="A88" s="96"/>
      <c r="B88" s="20"/>
      <c r="C88" s="27"/>
      <c r="D88" s="27"/>
    </row>
    <row r="89" spans="1:4" ht="20.25" x14ac:dyDescent="0.25">
      <c r="A89" s="96"/>
      <c r="B89" s="20"/>
      <c r="C89" s="27"/>
      <c r="D89" s="27"/>
    </row>
    <row r="90" spans="1:4" ht="20.25" x14ac:dyDescent="0.25">
      <c r="A90" s="96"/>
      <c r="B90" s="20"/>
      <c r="C90" s="27"/>
      <c r="D90" s="27"/>
    </row>
    <row r="91" spans="1:4" ht="20.25" x14ac:dyDescent="0.25">
      <c r="A91" s="96"/>
      <c r="B91" s="20"/>
      <c r="C91" s="27"/>
      <c r="D91" s="27"/>
    </row>
    <row r="92" spans="1:4" ht="20.25" x14ac:dyDescent="0.25">
      <c r="A92" s="96"/>
      <c r="B92" s="20"/>
      <c r="C92" s="27"/>
      <c r="D92" s="27"/>
    </row>
    <row r="93" spans="1:4" ht="20.25" x14ac:dyDescent="0.25">
      <c r="A93" s="96"/>
      <c r="B93" s="20"/>
      <c r="C93" s="27"/>
      <c r="D93" s="27"/>
    </row>
    <row r="94" spans="1:4" ht="20.25" x14ac:dyDescent="0.25">
      <c r="A94" s="96"/>
      <c r="B94" s="20"/>
      <c r="C94" s="27"/>
      <c r="D94" s="27"/>
    </row>
    <row r="95" spans="1:4" ht="20.25" x14ac:dyDescent="0.25">
      <c r="A95" s="96"/>
      <c r="B95" s="20"/>
      <c r="C95" s="27"/>
      <c r="D95" s="27"/>
    </row>
    <row r="96" spans="1:4" ht="20.25" x14ac:dyDescent="0.25">
      <c r="A96" s="96"/>
      <c r="B96" s="20"/>
      <c r="C96" s="27"/>
      <c r="D96" s="27"/>
    </row>
    <row r="97" spans="1:4" ht="20.25" x14ac:dyDescent="0.25">
      <c r="A97" s="96"/>
      <c r="B97" s="20"/>
      <c r="C97" s="27"/>
      <c r="D97" s="27"/>
    </row>
    <row r="98" spans="1:4" ht="20.25" x14ac:dyDescent="0.25">
      <c r="A98" s="96"/>
      <c r="B98" s="20"/>
      <c r="C98" s="27"/>
      <c r="D98" s="27"/>
    </row>
    <row r="99" spans="1:4" ht="20.25" x14ac:dyDescent="0.25">
      <c r="A99" s="96"/>
      <c r="B99" s="20"/>
      <c r="C99" s="27"/>
      <c r="D99" s="27"/>
    </row>
    <row r="100" spans="1:4" ht="20.25" x14ac:dyDescent="0.25">
      <c r="A100" s="96"/>
      <c r="B100" s="20"/>
      <c r="C100" s="27"/>
      <c r="D100" s="27"/>
    </row>
    <row r="101" spans="1:4" ht="20.25" x14ac:dyDescent="0.25">
      <c r="A101" s="96"/>
      <c r="B101" s="20"/>
      <c r="C101" s="27"/>
      <c r="D101" s="27"/>
    </row>
    <row r="102" spans="1:4" ht="20.25" x14ac:dyDescent="0.25">
      <c r="A102" s="96"/>
      <c r="B102" s="20"/>
      <c r="C102" s="27"/>
      <c r="D102" s="27"/>
    </row>
    <row r="103" spans="1:4" ht="20.25" x14ac:dyDescent="0.25">
      <c r="A103" s="96"/>
      <c r="B103" s="20"/>
      <c r="C103" s="27"/>
      <c r="D103" s="27"/>
    </row>
    <row r="104" spans="1:4" ht="20.25" x14ac:dyDescent="0.25">
      <c r="A104" s="96"/>
      <c r="B104" s="20"/>
      <c r="C104" s="27"/>
      <c r="D104" s="27"/>
    </row>
    <row r="105" spans="1:4" ht="20.25" x14ac:dyDescent="0.25">
      <c r="A105" s="96"/>
      <c r="B105" s="20"/>
      <c r="C105" s="27"/>
      <c r="D105" s="27"/>
    </row>
    <row r="106" spans="1:4" ht="20.25" x14ac:dyDescent="0.25">
      <c r="A106" s="96"/>
      <c r="B106" s="20"/>
      <c r="C106" s="27"/>
      <c r="D106" s="27"/>
    </row>
    <row r="107" spans="1:4" ht="20.25" x14ac:dyDescent="0.25">
      <c r="A107" s="96"/>
      <c r="B107" s="20"/>
      <c r="C107" s="27"/>
      <c r="D107" s="27"/>
    </row>
    <row r="108" spans="1:4" ht="20.25" x14ac:dyDescent="0.25">
      <c r="A108" s="96"/>
      <c r="B108" s="20"/>
      <c r="C108" s="27"/>
      <c r="D108" s="27"/>
    </row>
    <row r="109" spans="1:4" ht="20.25" x14ac:dyDescent="0.25">
      <c r="A109" s="96"/>
      <c r="B109" s="20"/>
      <c r="C109" s="27"/>
      <c r="D109" s="27"/>
    </row>
    <row r="110" spans="1:4" ht="20.25" x14ac:dyDescent="0.25">
      <c r="A110" s="96"/>
      <c r="B110" s="20"/>
      <c r="C110" s="27"/>
      <c r="D110" s="27"/>
    </row>
    <row r="111" spans="1:4" ht="20.25" x14ac:dyDescent="0.25">
      <c r="A111" s="96"/>
      <c r="B111" s="20"/>
      <c r="C111" s="27"/>
      <c r="D111" s="27"/>
    </row>
    <row r="112" spans="1:4" ht="20.25" x14ac:dyDescent="0.25">
      <c r="A112" s="96"/>
      <c r="B112" s="20"/>
      <c r="C112" s="27"/>
      <c r="D112" s="27"/>
    </row>
    <row r="113" spans="1:4" ht="20.25" x14ac:dyDescent="0.25">
      <c r="A113" s="96"/>
      <c r="B113" s="20"/>
      <c r="C113" s="27"/>
      <c r="D113" s="27"/>
    </row>
    <row r="114" spans="1:4" ht="20.25" x14ac:dyDescent="0.25">
      <c r="A114" s="96"/>
      <c r="B114" s="20"/>
      <c r="C114" s="27"/>
      <c r="D114" s="27"/>
    </row>
    <row r="115" spans="1:4" ht="20.25" x14ac:dyDescent="0.25">
      <c r="A115" s="96"/>
      <c r="B115" s="20"/>
      <c r="C115" s="27"/>
      <c r="D115" s="27"/>
    </row>
    <row r="116" spans="1:4" ht="20.25" x14ac:dyDescent="0.25">
      <c r="A116" s="96"/>
      <c r="B116" s="20"/>
      <c r="C116" s="27"/>
      <c r="D116" s="27"/>
    </row>
    <row r="117" spans="1:4" ht="20.25" x14ac:dyDescent="0.25">
      <c r="A117" s="96"/>
      <c r="B117" s="20"/>
      <c r="C117" s="27"/>
      <c r="D117" s="27"/>
    </row>
    <row r="118" spans="1:4" ht="20.25" x14ac:dyDescent="0.25">
      <c r="A118" s="96"/>
      <c r="B118" s="20"/>
      <c r="C118" s="27"/>
      <c r="D118" s="27"/>
    </row>
    <row r="119" spans="1:4" ht="20.25" x14ac:dyDescent="0.25">
      <c r="A119" s="96"/>
      <c r="B119" s="20"/>
      <c r="C119" s="27"/>
      <c r="D119" s="27"/>
    </row>
    <row r="120" spans="1:4" ht="20.25" x14ac:dyDescent="0.25">
      <c r="A120" s="96"/>
      <c r="B120" s="20"/>
      <c r="C120" s="27"/>
      <c r="D120" s="27"/>
    </row>
    <row r="121" spans="1:4" ht="20.25" x14ac:dyDescent="0.25">
      <c r="A121" s="96"/>
      <c r="B121" s="20"/>
      <c r="C121" s="27"/>
      <c r="D121" s="27"/>
    </row>
    <row r="122" spans="1:4" ht="20.25" x14ac:dyDescent="0.25">
      <c r="A122" s="96"/>
      <c r="B122" s="20"/>
      <c r="C122" s="27"/>
      <c r="D122" s="27"/>
    </row>
    <row r="123" spans="1:4" ht="20.25" x14ac:dyDescent="0.25">
      <c r="A123" s="96"/>
      <c r="B123" s="20"/>
      <c r="C123" s="27"/>
      <c r="D123" s="27"/>
    </row>
    <row r="124" spans="1:4" ht="20.25" x14ac:dyDescent="0.25">
      <c r="A124" s="96"/>
      <c r="B124" s="20"/>
      <c r="C124" s="27"/>
      <c r="D124" s="27"/>
    </row>
    <row r="125" spans="1:4" ht="20.25" x14ac:dyDescent="0.25">
      <c r="A125" s="96"/>
      <c r="B125" s="20"/>
      <c r="C125" s="27"/>
      <c r="D125" s="27"/>
    </row>
    <row r="126" spans="1:4" ht="20.25" x14ac:dyDescent="0.25">
      <c r="A126" s="96"/>
      <c r="B126" s="20"/>
      <c r="C126" s="27"/>
      <c r="D126" s="27"/>
    </row>
    <row r="127" spans="1:4" ht="20.25" x14ac:dyDescent="0.25">
      <c r="A127" s="96"/>
      <c r="B127" s="20"/>
      <c r="C127" s="27"/>
      <c r="D127" s="27"/>
    </row>
    <row r="128" spans="1:4" ht="20.25" x14ac:dyDescent="0.25">
      <c r="A128" s="96"/>
      <c r="B128" s="20"/>
      <c r="C128" s="27"/>
      <c r="D128" s="27"/>
    </row>
    <row r="129" spans="1:4" ht="20.25" x14ac:dyDescent="0.25">
      <c r="A129" s="96"/>
      <c r="B129" s="20"/>
      <c r="C129" s="27"/>
      <c r="D129" s="27"/>
    </row>
    <row r="130" spans="1:4" ht="20.25" x14ac:dyDescent="0.25">
      <c r="A130" s="96"/>
      <c r="B130" s="20"/>
      <c r="C130" s="27"/>
      <c r="D130" s="27"/>
    </row>
    <row r="131" spans="1:4" ht="20.25" x14ac:dyDescent="0.25">
      <c r="A131" s="96"/>
      <c r="B131" s="20"/>
      <c r="C131" s="27"/>
      <c r="D131" s="27"/>
    </row>
    <row r="132" spans="1:4" ht="20.25" x14ac:dyDescent="0.25">
      <c r="A132" s="96"/>
      <c r="B132" s="20"/>
      <c r="C132" s="27"/>
      <c r="D132" s="27"/>
    </row>
    <row r="133" spans="1:4" ht="20.25" x14ac:dyDescent="0.25">
      <c r="A133" s="96"/>
      <c r="B133" s="20"/>
      <c r="C133" s="27"/>
      <c r="D133" s="27"/>
    </row>
    <row r="134" spans="1:4" ht="20.25" x14ac:dyDescent="0.25">
      <c r="A134" s="96"/>
      <c r="B134" s="20"/>
      <c r="C134" s="27"/>
      <c r="D134" s="27"/>
    </row>
    <row r="135" spans="1:4" ht="20.25" x14ac:dyDescent="0.25">
      <c r="A135" s="96"/>
      <c r="B135" s="20"/>
      <c r="C135" s="27"/>
      <c r="D135" s="27"/>
    </row>
    <row r="136" spans="1:4" ht="20.25" x14ac:dyDescent="0.25">
      <c r="A136" s="96"/>
      <c r="B136" s="20"/>
      <c r="C136" s="27"/>
      <c r="D136" s="27"/>
    </row>
    <row r="137" spans="1:4" ht="20.25" x14ac:dyDescent="0.25">
      <c r="A137" s="96"/>
      <c r="B137" s="20"/>
      <c r="C137" s="27"/>
      <c r="D137" s="27"/>
    </row>
    <row r="138" spans="1:4" ht="20.25" x14ac:dyDescent="0.25">
      <c r="A138" s="96"/>
      <c r="B138" s="20"/>
      <c r="C138" s="27"/>
      <c r="D138" s="27"/>
    </row>
    <row r="139" spans="1:4" ht="20.25" x14ac:dyDescent="0.25">
      <c r="A139" s="96"/>
      <c r="B139" s="20"/>
      <c r="C139" s="27"/>
      <c r="D139" s="27"/>
    </row>
    <row r="140" spans="1:4" ht="20.25" x14ac:dyDescent="0.25">
      <c r="A140" s="96"/>
      <c r="B140" s="20"/>
      <c r="C140" s="27"/>
      <c r="D140" s="27"/>
    </row>
    <row r="141" spans="1:4" ht="20.25" x14ac:dyDescent="0.25">
      <c r="A141" s="96"/>
      <c r="B141" s="20"/>
      <c r="C141" s="27"/>
      <c r="D141" s="27"/>
    </row>
    <row r="142" spans="1:4" ht="20.25" x14ac:dyDescent="0.25">
      <c r="A142" s="96"/>
      <c r="B142" s="20"/>
      <c r="C142" s="27"/>
      <c r="D142" s="27"/>
    </row>
    <row r="143" spans="1:4" ht="20.25" x14ac:dyDescent="0.25">
      <c r="A143" s="96"/>
      <c r="B143" s="20"/>
      <c r="C143" s="27"/>
      <c r="D143" s="27"/>
    </row>
    <row r="144" spans="1:4" ht="20.25" x14ac:dyDescent="0.25">
      <c r="A144" s="96"/>
      <c r="B144" s="20"/>
      <c r="C144" s="27"/>
      <c r="D144" s="27"/>
    </row>
    <row r="145" spans="1:4" ht="20.25" x14ac:dyDescent="0.25">
      <c r="A145" s="96"/>
      <c r="B145" s="20"/>
      <c r="C145" s="27"/>
      <c r="D145" s="27"/>
    </row>
    <row r="146" spans="1:4" ht="20.25" x14ac:dyDescent="0.25">
      <c r="A146" s="96"/>
      <c r="B146" s="20"/>
      <c r="C146" s="27"/>
      <c r="D146" s="27"/>
    </row>
    <row r="147" spans="1:4" ht="20.25" x14ac:dyDescent="0.25">
      <c r="A147" s="96"/>
      <c r="B147" s="20"/>
      <c r="C147" s="27"/>
      <c r="D147" s="27"/>
    </row>
    <row r="148" spans="1:4" ht="20.25" x14ac:dyDescent="0.25">
      <c r="A148" s="96"/>
      <c r="B148" s="20"/>
      <c r="C148" s="27"/>
      <c r="D148" s="27"/>
    </row>
    <row r="149" spans="1:4" ht="20.25" x14ac:dyDescent="0.25">
      <c r="A149" s="96"/>
      <c r="B149" s="20"/>
      <c r="C149" s="27"/>
      <c r="D149" s="27"/>
    </row>
    <row r="150" spans="1:4" ht="20.25" x14ac:dyDescent="0.25">
      <c r="A150" s="96"/>
      <c r="B150" s="20"/>
      <c r="C150" s="27"/>
      <c r="D150" s="27"/>
    </row>
    <row r="151" spans="1:4" ht="20.25" x14ac:dyDescent="0.25">
      <c r="A151" s="96"/>
      <c r="B151" s="20"/>
      <c r="C151" s="27"/>
      <c r="D151" s="27"/>
    </row>
    <row r="152" spans="1:4" ht="20.25" x14ac:dyDescent="0.25">
      <c r="A152" s="96"/>
      <c r="B152" s="20"/>
      <c r="C152" s="27"/>
      <c r="D152" s="27"/>
    </row>
    <row r="153" spans="1:4" ht="20.25" x14ac:dyDescent="0.25">
      <c r="A153" s="96"/>
      <c r="B153" s="20"/>
      <c r="C153" s="27"/>
      <c r="D153" s="27"/>
    </row>
    <row r="154" spans="1:4" ht="20.25" x14ac:dyDescent="0.25">
      <c r="A154" s="96"/>
      <c r="B154" s="20"/>
      <c r="C154" s="27"/>
      <c r="D154" s="27"/>
    </row>
    <row r="155" spans="1:4" ht="20.25" x14ac:dyDescent="0.25">
      <c r="A155" s="96"/>
      <c r="B155" s="20"/>
      <c r="C155" s="27"/>
      <c r="D155" s="27"/>
    </row>
    <row r="156" spans="1:4" ht="20.25" x14ac:dyDescent="0.25">
      <c r="A156" s="96"/>
      <c r="B156" s="20"/>
      <c r="C156" s="27"/>
      <c r="D156" s="27"/>
    </row>
    <row r="157" spans="1:4" ht="20.25" x14ac:dyDescent="0.25">
      <c r="A157" s="96"/>
      <c r="B157" s="20"/>
      <c r="C157" s="27"/>
      <c r="D157" s="27"/>
    </row>
    <row r="158" spans="1:4" ht="20.25" x14ac:dyDescent="0.25">
      <c r="A158" s="96"/>
      <c r="B158" s="20"/>
      <c r="C158" s="27"/>
      <c r="D158" s="27"/>
    </row>
    <row r="159" spans="1:4" ht="20.25" x14ac:dyDescent="0.25">
      <c r="A159" s="96"/>
      <c r="B159" s="20"/>
      <c r="C159" s="27"/>
      <c r="D159" s="27"/>
    </row>
    <row r="160" spans="1:4" ht="20.25" x14ac:dyDescent="0.25">
      <c r="A160" s="96"/>
      <c r="B160" s="20"/>
      <c r="C160" s="27"/>
      <c r="D160" s="27"/>
    </row>
    <row r="161" spans="1:4" ht="20.25" x14ac:dyDescent="0.25">
      <c r="A161" s="96"/>
      <c r="B161" s="20"/>
      <c r="C161" s="27"/>
      <c r="D161" s="27"/>
    </row>
    <row r="162" spans="1:4" ht="20.25" x14ac:dyDescent="0.25">
      <c r="A162" s="96"/>
      <c r="B162" s="20"/>
      <c r="C162" s="27"/>
      <c r="D162" s="27"/>
    </row>
    <row r="163" spans="1:4" ht="20.25" x14ac:dyDescent="0.25">
      <c r="A163" s="96"/>
      <c r="B163" s="20"/>
      <c r="C163" s="27"/>
      <c r="D163" s="27"/>
    </row>
    <row r="164" spans="1:4" ht="20.25" x14ac:dyDescent="0.25">
      <c r="A164" s="96"/>
      <c r="B164" s="20"/>
      <c r="C164" s="27"/>
      <c r="D164" s="27"/>
    </row>
    <row r="165" spans="1:4" ht="20.25" x14ac:dyDescent="0.25">
      <c r="A165" s="96"/>
      <c r="B165" s="20"/>
      <c r="C165" s="27"/>
      <c r="D165" s="27"/>
    </row>
    <row r="166" spans="1:4" ht="20.25" x14ac:dyDescent="0.25">
      <c r="A166" s="96"/>
      <c r="B166" s="20"/>
      <c r="C166" s="27"/>
      <c r="D166" s="27"/>
    </row>
    <row r="167" spans="1:4" ht="20.25" x14ac:dyDescent="0.25">
      <c r="A167" s="96"/>
      <c r="B167" s="20"/>
      <c r="C167" s="27"/>
      <c r="D167" s="27"/>
    </row>
    <row r="168" spans="1:4" ht="20.25" x14ac:dyDescent="0.25">
      <c r="A168" s="96"/>
      <c r="B168" s="20"/>
      <c r="C168" s="27"/>
      <c r="D168" s="27"/>
    </row>
    <row r="169" spans="1:4" ht="20.25" x14ac:dyDescent="0.25">
      <c r="A169" s="96"/>
      <c r="B169" s="20"/>
      <c r="C169" s="27"/>
      <c r="D169" s="27"/>
    </row>
    <row r="170" spans="1:4" ht="20.25" x14ac:dyDescent="0.25">
      <c r="A170" s="96"/>
      <c r="B170" s="20"/>
      <c r="C170" s="27"/>
      <c r="D170" s="27"/>
    </row>
    <row r="171" spans="1:4" ht="20.25" x14ac:dyDescent="0.25">
      <c r="A171" s="96"/>
      <c r="B171" s="20"/>
      <c r="C171" s="27"/>
      <c r="D171" s="27"/>
    </row>
    <row r="172" spans="1:4" ht="20.25" x14ac:dyDescent="0.25">
      <c r="A172" s="96"/>
      <c r="B172" s="20"/>
      <c r="C172" s="27"/>
      <c r="D172" s="27"/>
    </row>
    <row r="173" spans="1:4" ht="20.25" x14ac:dyDescent="0.25">
      <c r="A173" s="96"/>
      <c r="B173" s="20"/>
      <c r="C173" s="27"/>
      <c r="D173" s="27"/>
    </row>
    <row r="174" spans="1:4" ht="20.25" x14ac:dyDescent="0.25">
      <c r="A174" s="96"/>
      <c r="B174" s="20"/>
      <c r="C174" s="27"/>
      <c r="D174" s="27"/>
    </row>
    <row r="175" spans="1:4" ht="20.25" x14ac:dyDescent="0.25">
      <c r="A175" s="96"/>
      <c r="B175" s="20"/>
      <c r="C175" s="27"/>
      <c r="D175" s="27"/>
    </row>
    <row r="176" spans="1:4" ht="20.25" x14ac:dyDescent="0.25">
      <c r="A176" s="96"/>
      <c r="B176" s="20"/>
      <c r="C176" s="27"/>
      <c r="D176" s="27"/>
    </row>
    <row r="177" spans="1:4" ht="20.25" x14ac:dyDescent="0.25">
      <c r="A177" s="96"/>
      <c r="B177" s="20"/>
      <c r="C177" s="27"/>
      <c r="D177" s="27"/>
    </row>
    <row r="178" spans="1:4" ht="20.25" x14ac:dyDescent="0.25">
      <c r="A178" s="96"/>
      <c r="B178" s="20"/>
      <c r="C178" s="27"/>
      <c r="D178" s="27"/>
    </row>
    <row r="179" spans="1:4" ht="20.25" x14ac:dyDescent="0.25">
      <c r="A179" s="96"/>
      <c r="B179" s="20"/>
      <c r="C179" s="27"/>
      <c r="D179" s="27"/>
    </row>
    <row r="180" spans="1:4" ht="20.25" x14ac:dyDescent="0.25">
      <c r="A180" s="96"/>
      <c r="B180" s="20"/>
      <c r="C180" s="27"/>
      <c r="D180" s="27"/>
    </row>
    <row r="181" spans="1:4" ht="20.25" x14ac:dyDescent="0.25">
      <c r="A181" s="96"/>
      <c r="B181" s="20"/>
      <c r="C181" s="27"/>
      <c r="D181" s="27"/>
    </row>
    <row r="182" spans="1:4" ht="20.25" x14ac:dyDescent="0.25">
      <c r="A182" s="96"/>
      <c r="B182" s="20"/>
      <c r="C182" s="27"/>
      <c r="D182" s="27"/>
    </row>
    <row r="183" spans="1:4" ht="20.25" x14ac:dyDescent="0.25">
      <c r="A183" s="96"/>
      <c r="B183" s="20"/>
      <c r="C183" s="27"/>
      <c r="D183" s="27"/>
    </row>
    <row r="184" spans="1:4" ht="20.25" x14ac:dyDescent="0.25">
      <c r="A184" s="96"/>
      <c r="B184" s="20"/>
      <c r="C184" s="27"/>
      <c r="D184" s="27"/>
    </row>
    <row r="185" spans="1:4" ht="20.25" x14ac:dyDescent="0.25">
      <c r="A185" s="96"/>
      <c r="B185" s="20"/>
      <c r="C185" s="27"/>
      <c r="D185" s="27"/>
    </row>
    <row r="186" spans="1:4" ht="20.25" x14ac:dyDescent="0.25">
      <c r="A186" s="96"/>
      <c r="B186" s="20"/>
      <c r="C186" s="27"/>
      <c r="D186" s="27"/>
    </row>
    <row r="187" spans="1:4" ht="20.25" x14ac:dyDescent="0.25">
      <c r="A187" s="96"/>
      <c r="B187" s="20"/>
      <c r="C187" s="27"/>
      <c r="D187" s="27"/>
    </row>
    <row r="188" spans="1:4" ht="20.25" x14ac:dyDescent="0.25">
      <c r="A188" s="96"/>
      <c r="B188" s="20"/>
      <c r="C188" s="27"/>
      <c r="D188" s="27"/>
    </row>
    <row r="189" spans="1:4" ht="20.25" x14ac:dyDescent="0.25">
      <c r="A189" s="96"/>
      <c r="B189" s="20"/>
      <c r="C189" s="27"/>
      <c r="D189" s="27"/>
    </row>
    <row r="190" spans="1:4" ht="20.25" x14ac:dyDescent="0.25">
      <c r="A190" s="96"/>
      <c r="B190" s="20"/>
      <c r="C190" s="27"/>
      <c r="D190" s="27"/>
    </row>
    <row r="191" spans="1:4" ht="20.25" x14ac:dyDescent="0.25">
      <c r="A191" s="96"/>
      <c r="B191" s="20"/>
      <c r="C191" s="27"/>
      <c r="D191" s="27"/>
    </row>
    <row r="192" spans="1:4" ht="20.25" x14ac:dyDescent="0.25">
      <c r="A192" s="96"/>
      <c r="B192" s="20"/>
      <c r="C192" s="27"/>
      <c r="D192" s="27"/>
    </row>
    <row r="193" spans="1:4" ht="20.25" x14ac:dyDescent="0.25">
      <c r="A193" s="96"/>
      <c r="B193" s="20"/>
      <c r="C193" s="27"/>
      <c r="D193" s="27"/>
    </row>
    <row r="194" spans="1:4" ht="20.25" x14ac:dyDescent="0.25">
      <c r="A194" s="96"/>
      <c r="B194" s="20"/>
      <c r="C194" s="27"/>
      <c r="D194" s="27"/>
    </row>
    <row r="195" spans="1:4" ht="20.25" x14ac:dyDescent="0.25">
      <c r="A195" s="96"/>
      <c r="B195" s="20"/>
      <c r="C195" s="27"/>
      <c r="D195" s="27"/>
    </row>
    <row r="196" spans="1:4" ht="20.25" x14ac:dyDescent="0.25">
      <c r="A196" s="96"/>
      <c r="B196" s="20"/>
      <c r="C196" s="27"/>
      <c r="D196" s="27"/>
    </row>
    <row r="197" spans="1:4" ht="20.25" x14ac:dyDescent="0.25">
      <c r="A197" s="96"/>
      <c r="B197" s="20"/>
      <c r="C197" s="27"/>
      <c r="D197" s="27"/>
    </row>
    <row r="198" spans="1:4" ht="20.25" x14ac:dyDescent="0.25">
      <c r="A198" s="96"/>
      <c r="B198" s="20"/>
      <c r="C198" s="27"/>
      <c r="D198" s="27"/>
    </row>
    <row r="199" spans="1:4" ht="20.25" x14ac:dyDescent="0.25">
      <c r="A199" s="96"/>
      <c r="B199" s="20"/>
      <c r="C199" s="27"/>
      <c r="D199" s="27"/>
    </row>
    <row r="200" spans="1:4" ht="20.25" x14ac:dyDescent="0.25">
      <c r="A200" s="96"/>
      <c r="B200" s="20"/>
      <c r="C200" s="27"/>
      <c r="D200" s="27"/>
    </row>
    <row r="201" spans="1:4" ht="20.25" x14ac:dyDescent="0.25">
      <c r="A201" s="96"/>
      <c r="B201" s="20"/>
      <c r="C201" s="27"/>
      <c r="D201" s="27"/>
    </row>
    <row r="202" spans="1:4" ht="20.25" x14ac:dyDescent="0.25">
      <c r="A202" s="96"/>
      <c r="B202" s="20"/>
      <c r="C202" s="27"/>
      <c r="D202" s="27"/>
    </row>
    <row r="203" spans="1:4" ht="20.25" x14ac:dyDescent="0.25">
      <c r="A203" s="96"/>
      <c r="B203" s="20"/>
      <c r="C203" s="27"/>
      <c r="D203" s="27"/>
    </row>
    <row r="204" spans="1:4" ht="20.25" x14ac:dyDescent="0.25">
      <c r="A204" s="96"/>
      <c r="B204" s="20"/>
      <c r="C204" s="27"/>
      <c r="D204" s="27"/>
    </row>
    <row r="205" spans="1:4" ht="20.25" x14ac:dyDescent="0.25">
      <c r="A205" s="96"/>
      <c r="B205" s="20"/>
      <c r="C205" s="27"/>
      <c r="D205" s="27"/>
    </row>
    <row r="206" spans="1:4" ht="20.25" x14ac:dyDescent="0.25">
      <c r="A206" s="96"/>
      <c r="B206" s="20"/>
      <c r="C206" s="27"/>
      <c r="D206" s="27"/>
    </row>
    <row r="207" spans="1:4" ht="20.25" x14ac:dyDescent="0.25">
      <c r="A207" s="96"/>
      <c r="B207" s="20"/>
      <c r="C207" s="27"/>
      <c r="D207" s="27"/>
    </row>
    <row r="208" spans="1:4" x14ac:dyDescent="0.25">
      <c r="A208" s="76"/>
      <c r="B208" s="20"/>
      <c r="C208" s="20"/>
      <c r="D208" s="20"/>
    </row>
    <row r="209" spans="1:8" ht="20.25" x14ac:dyDescent="0.25">
      <c r="A209" s="76"/>
      <c r="B209" s="23" t="s">
        <v>88</v>
      </c>
      <c r="C209" s="23" t="s">
        <v>140</v>
      </c>
      <c r="D209" s="26" t="s">
        <v>88</v>
      </c>
      <c r="E209" s="26" t="s">
        <v>140</v>
      </c>
    </row>
    <row r="210" spans="1:8" ht="21" x14ac:dyDescent="0.35">
      <c r="A210" s="76"/>
      <c r="B210" s="24" t="s">
        <v>90</v>
      </c>
      <c r="C210" s="24"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35">
      <c r="A211" s="76"/>
      <c r="B211" s="24" t="s">
        <v>90</v>
      </c>
      <c r="C211" s="24" t="s">
        <v>93</v>
      </c>
      <c r="E211" t="s">
        <v>58</v>
      </c>
      <c r="F211" t="str">
        <f t="shared" ref="F211:F221" si="0">IF(NOT(ISBLANK(D211)),D211,IF(NOT(ISBLANK(E211)),"     "&amp;E211,FALSE))</f>
        <v xml:space="preserve">     Afectación menor a 10 SMLMV .</v>
      </c>
    </row>
    <row r="212" spans="1:8" ht="21" x14ac:dyDescent="0.35">
      <c r="A212" s="76"/>
      <c r="B212" s="24" t="s">
        <v>90</v>
      </c>
      <c r="C212" s="24" t="s">
        <v>94</v>
      </c>
      <c r="E212" t="s">
        <v>93</v>
      </c>
      <c r="F212" t="str">
        <f t="shared" si="0"/>
        <v xml:space="preserve">     Entre 10 y 50 SMLMV </v>
      </c>
    </row>
    <row r="213" spans="1:8" ht="21" x14ac:dyDescent="0.35">
      <c r="A213" s="76"/>
      <c r="B213" s="24" t="s">
        <v>90</v>
      </c>
      <c r="C213" s="24" t="s">
        <v>95</v>
      </c>
      <c r="E213" t="s">
        <v>94</v>
      </c>
      <c r="F213" t="str">
        <f t="shared" si="0"/>
        <v xml:space="preserve">     Entre 50 y 100 SMLMV </v>
      </c>
    </row>
    <row r="214" spans="1:8" ht="21" x14ac:dyDescent="0.35">
      <c r="A214" s="76"/>
      <c r="B214" s="24" t="s">
        <v>90</v>
      </c>
      <c r="C214" s="24" t="s">
        <v>96</v>
      </c>
      <c r="E214" t="s">
        <v>95</v>
      </c>
      <c r="F214" t="str">
        <f t="shared" si="0"/>
        <v xml:space="preserve">     Entre 100 y 500 SMLMV </v>
      </c>
    </row>
    <row r="215" spans="1:8" ht="21" x14ac:dyDescent="0.35">
      <c r="A215" s="76"/>
      <c r="B215" s="24" t="s">
        <v>57</v>
      </c>
      <c r="C215" s="24" t="s">
        <v>97</v>
      </c>
      <c r="E215" t="s">
        <v>96</v>
      </c>
      <c r="F215" t="str">
        <f t="shared" si="0"/>
        <v xml:space="preserve">     Mayor a 500 SMLMV </v>
      </c>
    </row>
    <row r="216" spans="1:8" ht="21" x14ac:dyDescent="0.35">
      <c r="A216" s="76"/>
      <c r="B216" s="24" t="s">
        <v>57</v>
      </c>
      <c r="C216" s="24" t="s">
        <v>98</v>
      </c>
      <c r="D216" t="s">
        <v>57</v>
      </c>
      <c r="F216" t="str">
        <f t="shared" si="0"/>
        <v>Pérdida Reputacional</v>
      </c>
    </row>
    <row r="217" spans="1:8" ht="21" x14ac:dyDescent="0.35">
      <c r="A217" s="76"/>
      <c r="B217" s="24" t="s">
        <v>57</v>
      </c>
      <c r="C217" s="24" t="s">
        <v>100</v>
      </c>
      <c r="E217" t="s">
        <v>97</v>
      </c>
      <c r="F217" t="str">
        <f t="shared" si="0"/>
        <v xml:space="preserve">     El riesgo afecta la imagen de alguna área de la organización</v>
      </c>
    </row>
    <row r="218" spans="1:8" ht="21" x14ac:dyDescent="0.35">
      <c r="A218" s="76"/>
      <c r="B218" s="24" t="s">
        <v>57</v>
      </c>
      <c r="C218" s="24" t="s">
        <v>99</v>
      </c>
      <c r="E218" t="s">
        <v>98</v>
      </c>
      <c r="F218" t="str">
        <f t="shared" si="0"/>
        <v xml:space="preserve">     El riesgo afecta la imagen de la entidad internamente, de conocimiento general, nivel interno, de junta dircetiva y accionistas y/o de provedores</v>
      </c>
    </row>
    <row r="219" spans="1:8" ht="21" x14ac:dyDescent="0.35">
      <c r="A219" s="76"/>
      <c r="B219" s="24" t="s">
        <v>57</v>
      </c>
      <c r="C219" s="24" t="s">
        <v>118</v>
      </c>
      <c r="E219" t="s">
        <v>100</v>
      </c>
      <c r="F219" t="str">
        <f t="shared" si="0"/>
        <v xml:space="preserve">     El riesgo afecta la imagen de la entidad con algunos usuarios de relevancia frente al logro de los objetivos</v>
      </c>
    </row>
    <row r="220" spans="1:8" x14ac:dyDescent="0.25">
      <c r="A220" s="76"/>
      <c r="B220" s="25"/>
      <c r="C220" s="25"/>
      <c r="E220" t="s">
        <v>99</v>
      </c>
      <c r="F220" t="str">
        <f t="shared" si="0"/>
        <v xml:space="preserve">     El riesgo afecta la imagen de de la entidad con efecto publicitario sostenido a nivel de sector administrativo, nivel departamental o municipal</v>
      </c>
    </row>
    <row r="221" spans="1:8" x14ac:dyDescent="0.25">
      <c r="A221" s="76"/>
      <c r="B221" s="25" t="str">
        <f t="array" ref="B221:B223">_xlfn.UNIQUE(Tabla1[[#All],[Criterios]])</f>
        <v>Criterios</v>
      </c>
      <c r="C221" s="25"/>
      <c r="E221" t="s">
        <v>118</v>
      </c>
      <c r="F221" t="str">
        <f t="shared" si="0"/>
        <v xml:space="preserve">     El riesgo afecta la imagen de la entidad a nivel nacional, con efecto publicitarios sostenible a nivel país</v>
      </c>
    </row>
    <row r="222" spans="1:8" x14ac:dyDescent="0.25">
      <c r="A222" s="76"/>
      <c r="B222" s="25" t="str">
        <v>Afectación Económica o presupuestal</v>
      </c>
      <c r="C222" s="25"/>
    </row>
    <row r="223" spans="1:8" x14ac:dyDescent="0.25">
      <c r="B223" s="25" t="str">
        <v>Pérdida Reputacional</v>
      </c>
      <c r="C223" s="25"/>
      <c r="F223" s="28" t="s">
        <v>142</v>
      </c>
    </row>
    <row r="224" spans="1:8" x14ac:dyDescent="0.25">
      <c r="B224" s="19"/>
      <c r="C224" s="19"/>
      <c r="F224" s="28" t="s">
        <v>143</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heetViews>
  <sheetFormatPr baseColWidth="10" defaultColWidth="14.28515625" defaultRowHeight="12.75" x14ac:dyDescent="0.2"/>
  <cols>
    <col min="1" max="2" width="14.28515625" style="81"/>
    <col min="3" max="3" width="17" style="81" customWidth="1"/>
    <col min="4" max="4" width="14.28515625" style="81"/>
    <col min="5" max="5" width="46" style="81" customWidth="1"/>
    <col min="6" max="16384" width="14.28515625" style="81"/>
  </cols>
  <sheetData>
    <row r="1" spans="2:6" ht="24" customHeight="1" thickBot="1" x14ac:dyDescent="0.25">
      <c r="B1" s="534" t="s">
        <v>78</v>
      </c>
      <c r="C1" s="535"/>
      <c r="D1" s="535"/>
      <c r="E1" s="535"/>
      <c r="F1" s="536"/>
    </row>
    <row r="2" spans="2:6" ht="16.5" thickBot="1" x14ac:dyDescent="0.3">
      <c r="B2" s="82"/>
      <c r="C2" s="82"/>
      <c r="D2" s="82"/>
      <c r="E2" s="82"/>
      <c r="F2" s="82"/>
    </row>
    <row r="3" spans="2:6" ht="16.5" thickBot="1" x14ac:dyDescent="0.25">
      <c r="B3" s="538" t="s">
        <v>64</v>
      </c>
      <c r="C3" s="539"/>
      <c r="D3" s="539"/>
      <c r="E3" s="94" t="s">
        <v>65</v>
      </c>
      <c r="F3" s="95" t="s">
        <v>66</v>
      </c>
    </row>
    <row r="4" spans="2:6" ht="31.5" x14ac:dyDescent="0.2">
      <c r="B4" s="540" t="s">
        <v>67</v>
      </c>
      <c r="C4" s="542" t="s">
        <v>13</v>
      </c>
      <c r="D4" s="83" t="s">
        <v>14</v>
      </c>
      <c r="E4" s="84" t="s">
        <v>68</v>
      </c>
      <c r="F4" s="85">
        <v>0.25</v>
      </c>
    </row>
    <row r="5" spans="2:6" ht="47.25" x14ac:dyDescent="0.2">
      <c r="B5" s="541"/>
      <c r="C5" s="543"/>
      <c r="D5" s="86" t="s">
        <v>15</v>
      </c>
      <c r="E5" s="87" t="s">
        <v>69</v>
      </c>
      <c r="F5" s="88">
        <v>0.15</v>
      </c>
    </row>
    <row r="6" spans="2:6" ht="47.25" x14ac:dyDescent="0.2">
      <c r="B6" s="541"/>
      <c r="C6" s="543"/>
      <c r="D6" s="86" t="s">
        <v>16</v>
      </c>
      <c r="E6" s="87" t="s">
        <v>70</v>
      </c>
      <c r="F6" s="88">
        <v>0.1</v>
      </c>
    </row>
    <row r="7" spans="2:6" ht="63" x14ac:dyDescent="0.2">
      <c r="B7" s="541"/>
      <c r="C7" s="543" t="s">
        <v>17</v>
      </c>
      <c r="D7" s="86" t="s">
        <v>10</v>
      </c>
      <c r="E7" s="87" t="s">
        <v>71</v>
      </c>
      <c r="F7" s="88">
        <v>0.25</v>
      </c>
    </row>
    <row r="8" spans="2:6" ht="31.5" x14ac:dyDescent="0.2">
      <c r="B8" s="541"/>
      <c r="C8" s="543"/>
      <c r="D8" s="86" t="s">
        <v>9</v>
      </c>
      <c r="E8" s="87" t="s">
        <v>72</v>
      </c>
      <c r="F8" s="88">
        <v>0.15</v>
      </c>
    </row>
    <row r="9" spans="2:6" ht="47.25" x14ac:dyDescent="0.2">
      <c r="B9" s="541" t="s">
        <v>157</v>
      </c>
      <c r="C9" s="543" t="s">
        <v>18</v>
      </c>
      <c r="D9" s="86" t="s">
        <v>19</v>
      </c>
      <c r="E9" s="87" t="s">
        <v>73</v>
      </c>
      <c r="F9" s="89" t="s">
        <v>74</v>
      </c>
    </row>
    <row r="10" spans="2:6" ht="63" x14ac:dyDescent="0.2">
      <c r="B10" s="541"/>
      <c r="C10" s="543"/>
      <c r="D10" s="86" t="s">
        <v>20</v>
      </c>
      <c r="E10" s="87" t="s">
        <v>75</v>
      </c>
      <c r="F10" s="89" t="s">
        <v>74</v>
      </c>
    </row>
    <row r="11" spans="2:6" ht="47.25" x14ac:dyDescent="0.2">
      <c r="B11" s="541"/>
      <c r="C11" s="543" t="s">
        <v>21</v>
      </c>
      <c r="D11" s="86" t="s">
        <v>22</v>
      </c>
      <c r="E11" s="87" t="s">
        <v>76</v>
      </c>
      <c r="F11" s="89" t="s">
        <v>74</v>
      </c>
    </row>
    <row r="12" spans="2:6" ht="47.25" x14ac:dyDescent="0.2">
      <c r="B12" s="541"/>
      <c r="C12" s="543"/>
      <c r="D12" s="86" t="s">
        <v>23</v>
      </c>
      <c r="E12" s="87" t="s">
        <v>77</v>
      </c>
      <c r="F12" s="89" t="s">
        <v>74</v>
      </c>
    </row>
    <row r="13" spans="2:6" ht="31.5" x14ac:dyDescent="0.2">
      <c r="B13" s="541"/>
      <c r="C13" s="543" t="s">
        <v>24</v>
      </c>
      <c r="D13" s="86" t="s">
        <v>119</v>
      </c>
      <c r="E13" s="87" t="s">
        <v>122</v>
      </c>
      <c r="F13" s="89" t="s">
        <v>74</v>
      </c>
    </row>
    <row r="14" spans="2:6" ht="32.25" thickBot="1" x14ac:dyDescent="0.25">
      <c r="B14" s="544"/>
      <c r="C14" s="545"/>
      <c r="D14" s="90" t="s">
        <v>120</v>
      </c>
      <c r="E14" s="91" t="s">
        <v>121</v>
      </c>
      <c r="F14" s="92" t="s">
        <v>74</v>
      </c>
    </row>
    <row r="15" spans="2:6" ht="49.5" customHeight="1" x14ac:dyDescent="0.2">
      <c r="B15" s="537" t="s">
        <v>154</v>
      </c>
      <c r="C15" s="537"/>
      <c r="D15" s="537"/>
      <c r="E15" s="537"/>
      <c r="F15" s="537"/>
    </row>
    <row r="16" spans="2:6" ht="27" customHeight="1" x14ac:dyDescent="0.25">
      <c r="B16" s="93"/>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0.7109375"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0.7109375" defaultRowHeight="12.75" x14ac:dyDescent="0.2"/>
  <cols>
    <col min="1" max="1" width="32.7109375" style="6" customWidth="1"/>
    <col min="2" max="16384" width="10.710937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40</v>
      </c>
    </row>
    <row r="21" spans="1:1" x14ac:dyDescent="0.2">
      <c r="A21" s="7"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Area Sistemas</cp:lastModifiedBy>
  <cp:lastPrinted>2020-05-13T01:12:22Z</cp:lastPrinted>
  <dcterms:created xsi:type="dcterms:W3CDTF">2020-03-24T23:12:47Z</dcterms:created>
  <dcterms:modified xsi:type="dcterms:W3CDTF">2024-07-16T14:19:42Z</dcterms:modified>
</cp:coreProperties>
</file>