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25440" windowHeight="15990" activeTab="3"/>
  </bookViews>
  <sheets>
    <sheet name="Instructivo" sheetId="1" r:id="rId1"/>
    <sheet name="Estado SCI" sheetId="2" r:id="rId2"/>
    <sheet name="Análisis Resultados" sheetId="3" r:id="rId3"/>
    <sheet name="Conclusión" sheetId="4" r:id="rId4"/>
    <sheet name="Hoja1" sheetId="5" state="hidden" r:id="rId5"/>
  </sheets>
  <externalReferences>
    <externalReference r:id="rId8"/>
  </externalReferences>
  <definedNames>
    <definedName name="_xlnm._FilterDatabase" localSheetId="4" hidden="1">'Hoja1'!$A$1:$K$45</definedName>
    <definedName name="_xlfn.AVERAGEIF" hidden="1">#NAME?</definedName>
    <definedName name="_xlfn.IFERROR" hidden="1">#NAME?</definedName>
    <definedName name="_xlfn.RANK.EQ" hidden="1">#NAME?</definedName>
  </definedNames>
  <calcPr fullCalcOnLoad="1"/>
</workbook>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<sst xmlns="http://schemas.openxmlformats.org/spreadsheetml/2006/main" count="514" uniqueCount="244">
  <si>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</si>
  <si>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</si>
  <si>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</si>
  <si>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</si>
  <si>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</si>
  <si>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</si>
  <si>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</si>
  <si>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</si>
  <si>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</si>
  <si>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</si>
  <si>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</si>
  <si>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</si>
  <si>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</si>
  <si>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</si>
  <si>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</si>
  <si>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</si>
  <si>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</si>
  <si>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</si>
  <si>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</si>
  <si>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</si>
  <si>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</si>
  <si>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</si>
  <si>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</si>
  <si>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</si>
  <si>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</si>
  <si>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</si>
  <si>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</si>
  <si>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</si>
  <si>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</si>
  <si>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</si>
  <si>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</si>
  <si>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</si>
  <si>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</si>
  <si>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</si>
  <si>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</si>
  <si>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</si>
  <si>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</si>
  <si>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</si>
  <si>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</si>
  <si>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</si>
  <si>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</si>
  <si>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</si>
  <si>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</si>
  <si>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</si>
  <si>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</si>
  <si>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</si>
  <si>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</si>
  <si>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</si>
  <si>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</si>
  <si>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</si>
  <si>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</si>
  <si>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</si>
  <si>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</si>
  <si>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</si>
  <si>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</si>
  <si>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</si>
  <si>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</si>
  <si>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</si>
  <si>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</si>
  <si>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</si>
  <si>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</si>
  <si>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</si>
  <si>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</si>
  <si>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</si>
  <si>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</si>
  <si>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</si>
  <si>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</si>
  <si>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</si>
  <si>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</si>
  <si>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</si>
  <si>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</si>
  <si>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</si>
  <si>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</si>
  <si>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</si>
  <si>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</si>
  <si>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</si>
  <si>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</si>
  <si>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</si>
  <si>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</si>
  <si>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</si>
  <si>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</si>
  <si>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</si>
  <si>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</si>
  <si>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</si>
  <si>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</si>
  <si>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</si>
  <si>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</si>
  <si>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</si>
  <si>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</si>
  <si>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</si>
  <si>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</si>
  <si>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</si>
  <si>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</si>
  <si>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</si>
  <si>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</si>
  <si>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</si>
  <si>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</si>
  <si>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</si>
  <si>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</si>
  <si>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</si>
  <si>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</si>
  <si>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</si>
  <si>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</si>
  <si>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</si>
  <si>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</si>
  <si>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</si>
  <si>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</si>
  <si>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</si>
  <si>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</si>
  <si>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</si>
  <si>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</si>
  <si>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</si>
  <si>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</si>
  <si>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</si>
  <si>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</si>
  <si>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</si>
  <si>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</si>
  <si>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</si>
  <si>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</si>
  <si>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</si>
  <si>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</si>
  <si>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</si>
  <si>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</si>
  <si>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</si>
  <si>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</si>
  <si>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</si>
  <si>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</si>
  <si>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</si>
  <si>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</si>
  <si>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</si>
  <si>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</si>
  <si>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</si>
  <si>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</si>
  <si>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</si>
  <si>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</si>
  <si>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</si>
  <si>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</si>
  <si>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</si>
  <si>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</si>
  <si>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</si>
  <si>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</si>
  <si>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</si>
  <si>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</si>
  <si>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</si>
  <si>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</si>
  <si>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</si>
  <si>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</si>
  <si>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</si>
  <si>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</si>
  <si>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</si>
  <si>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</si>
  <si>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</si>
  <si>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</si>
  <si>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</si>
  <si>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</si>
  <si>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</si>
  <si>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</si>
  <si>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val="single"/>
        <sz val="20"/>
        <color indexed="9"/>
        <rFont val="Arial"/>
        <family val="2"/>
      </rPr>
      <t xml:space="preserve"> Estado actual:</t>
    </r>
    <r>
      <rPr>
        <b/>
        <sz val="20"/>
        <color indexed="9"/>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</si>
  <si>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</si>
  <si>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</si>
  <si>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</si>
  <si>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</si>
  <si>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</si>
  <si>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</si>
  <si>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</si>
  <si>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</si>
  <si>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</si>
  <si>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</si>
  <si>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</si>
  <si>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</si>
  <si>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</si>
  <si>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</si>
  <si>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</si>
  <si>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</si>
  <si>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</si>
  <si>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</si>
  <si>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</si>
  <si>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</si>
  <si>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</si>
  <si>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</si>
  <si>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</si>
  <si>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</si>
  <si>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</si>
  <si>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</si>
  <si>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</si>
  <si>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</si>
  <si>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</si>
  <si>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</si>
  <si>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</si>
  <si>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</si>
  <si>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</si>
  <si>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</si>
  <si>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</si>
  <si>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</si>
  <si>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</si>
  <si>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</si>
  <si>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</si>
  <si>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</si>
  <si>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</si>
  <si>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</si>
  <si>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</si>
  <si>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</si>
  <si>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</si>
  <si>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</si>
  <si>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</si>
  <si>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</si>
  <si>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</si>
  <si>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</si>
  <si>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</si>
  <si>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</si>
  <si>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</si>
  <si>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</si>
  <si>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</si>
  <si>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</si>
  <si>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</si>
  <si>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</si>
  <si>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</si>
  <si>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</si>
  <si>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</si>
  <si>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</si>
  <si>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</si>
  <si>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</si>
  <si>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</si>
  <si>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</si>
  <si>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Ministerio de Hacienda y Crédito Público, Ministerio de Transporte y DNP, quienes también participan en estos espacios, incluyendo, la identificación y evaluación de los riesgos de este proyecto.</t>
  </si>
  <si>
    <t>La Entidad cuenta con un plan de acción coherente con el Plan de Desarrollo Municipal 2020 - 2023, de donde se desprende la ejecución de proyectos propios de la misionalidad del Sistema Estratégico de Transporte Público. Dichos planes pueden ser consultados en la página web institucional http://www.armeniaamable.gov.co/</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</si>
  <si>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periódica, determinando nuevos controles de acuerdo con los cambios en el contexto.</t>
  </si>
  <si>
    <t>Durante los seguimientos realizados a la gestión de los riesgos, se identifican oportunidades de mejora frente a cómo controlar los riesgos o los procesos, además, de proponer ajustes si se evidencia su necesidad. No obstante, las matrices de riesgo cuentan con controles y planes de mejoramiento cuando así lo requieren.</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</si>
  <si>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 Por parte de la Oficina de Control Interno, se recomienda fortalecer los procesos de monitoreo y seguimiento a los riesgos.</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</si>
  <si>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internamente, lo anterior, teniendo en cuenta la importancia de los procesos virtuales actualmente.</t>
  </si>
  <si>
    <t>Debido a que la Entidad solo cuenta con dos empleados públicos no se ha implementado de manera total las actividades relacionadas al sistema de estímulos establecido en la Ley 909 de 2004, a pesar de esta limitante, la Oficina Asesora de Control Interno sí se ha evidenciado para la realización de algunas actividades relacionadas al bienestar social como procesos de inducción a contratistas, celebración de fechas especiales, pausas activas, además, de la inclusión de los profesionales en jornadas de capacitación relacionados con la Alcaldía del municipio Armenia, Ministerio de Transporte, Ministerio de Hacienda y Crédito Público y Departamento Nacional de Planeación -  DNP.</t>
  </si>
  <si>
    <t xml:space="preserve">Amable participa de manera anual y de forma articulada con la administración central, en la audiencia pública de rendición de cuentas donde se presenta información de interés para el público en general. </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</si>
  <si>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 Para el período, se evidenció que los procesos actualizaron sus matrices de riesgo de acuerdo con la metodología incluida en la guía para la administración del riesgo expedida por parte del DAFP.</t>
  </si>
  <si>
    <t>Amable cuenta con una matriz de riesgos de corrupción la cual fue actualizada de acuerdo con el procedimiento establecido por el Departamento Administrativo de la Función Pública junto con el Plan Anticorrupción y de Atención al Ciudadano. Dicho mapa de riesgos puede ser consultado accediendo a través del siguiente enlace https://www.armeniaamable.gov.co/index.php/transparencia-ley-1712/6-participa/plan-anticorrupcion-y-atencion-al-ciudadano</t>
  </si>
  <si>
    <t>La Entidad cuenta con un Plan Anticorrupción y de Atención al Ciudadano para la vigencia 2023, el cual fue aprobado por el Comité Institucional de Gestión y Desempeño y se encuentra publicado en la página web de la Entidad para la consulta de los interesados:  http://www.armeniaamable.gov.co/transparencia-ley-1712/plan-anticorrupcion-y-atencion-al-ciudadano</t>
  </si>
  <si>
    <t>Se evidenció que la Entidad cuenta con un Programa Anual de Auditoría basada en riesgos,  el cual fue revisado y aprobado por el Comité Institucional de Coordinación de Control Interno en enero de 2023, además, durante el primer semestre se han  ejecutado las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t>
  </si>
  <si>
    <t>La Entidad ha identificado algunos riesgos relacionados con las tecnologías de la información como la administración de sistemas de información o equipos de cómputo con los cuales se cuenta. Se recomienda continuar con la identificación de otros riesgos correspondientes. se puede evidenciar en las matrices de riesgo de los procesos internos relacionados con administración de sistemas de información y tecnologías de la información.</t>
  </si>
  <si>
    <t>Se evidenció que la Entidad cuenta con mecanismos de seguimiento como lo son cronogramas y listas de chequeo de proyectos relacionados a la implementación del Sistema Estratégico de Transporte Público SETP.</t>
  </si>
  <si>
    <t>01 DE JULIO DE 2023 A  31  DE DICIEMBRE DE 2023</t>
  </si>
  <si>
    <t>La Oficina Asesora de Control Interno evidenció que Amable ha venido trabajando en el desarrollo de acciones que garanticen el mantenimiento del Sistema de Control Interno en Amable E.I.C.E, no obstante recomienda  fortalecer el conocimiento del Sistema de Control Interno y sus principios, autocontrol, autogestión y autorregulación, y el modelo establecido en la política del MIPG,  por parte de todos los colaboradores sin importar su tipo de vinculación a la Entidad, de igual manera, promover el fortalecimiento del conocimiento en temas relacionados al MIPG, indicando los roles y responsabilidades que se deben cumplir. En cuanto a la gestión del riesgo, se recomienda fortalecer con el monitoreo de los riesgos y sus controles y realizar revisión del contenido y calificación de los riesgos de los procesos, además, de su política de riesgos considerando la metodología propuesta por Función Pública para tal fin.</t>
  </si>
  <si>
    <t>Se evidenció que el Sistema de Control Interno ha permitido la implementación de herramientas de control y seguimiento que  han apuntado al cumplimiento de metas y objetivos institucionales y al mejoramiento continuo institucional. Ahora bien, la Entidad sí cuenta con oportunidades de mejora que permitirán mejorar la madurez del Sistema de Control Interno, y consigo, el grado de cumplimiento a los requerimientos de los diferentes grupos de interés y de valor.</t>
  </si>
  <si>
    <t>Se evidenció que la entidad aún no  ha documentado de forma clara las responsabilidades e integrantes de cada una de estas líneas en la Entidad. En concepto de la oficina de control interno, la implementación del modelo de líneas de defensas se puede ver afectado por el tipo de vinculación de los colaboradores de la entidad, toda vez que la empresa solo cuenta con dos empleados públicos y los demás profesionales son vinculados a través de contratos de prestación de servicios. Se recomienda generar acciones tendientes a socializar esta información al interior de los equipos de trabajo sin importar su tipo de vinculación.</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</si>
  <si>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Se recomienda revisar y actualizar constantemente la información documentada como procedimientos, manuales y formatos. Además, fortalecer lo referente a la gestión del código de integridad e implementación de procedimientos para la gestión de conflictos de intereses</t>
  </si>
  <si>
    <t>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actualizar el contenido de su política de administración del riesgo y establecimiento de controles, así como los seguimiento por parte de planeación institucional y ejecutores de operaciones. Además de esto, se evidencia la necesidad de fortalecer los canales de comunicación de los resultados de la gestión de los riesgos con los procesos de la entidad.</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</si>
</sst>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125">
    <font>
      <sz val="11"/>
      <color theme="1"/>
      <name val="Calibri"/>
      <family val="2"/>
    </font>
    <font>
      <sz val="11"/>
      <color indexed="8"/>
      <name val="Calibri"/>
      <family val="2"/>
    </font>
    <font>
      <sz val="12"/>
      <color indexed="8"/>
      <name val="Calibri"/>
      <family val="2"/>
    </font>
    <font>
      <sz val="11"/>
      <name val="Arial"/>
      <family val="2"/>
    </font>
    <font>
      <b/>
      <sz val="12"/>
      <name val="Arial"/>
      <family val="2"/>
    </font>
    <font>
      <sz val="11"/>
      <color indexed="9"/>
      <name val="Calibri"/>
      <family val="2"/>
    </font>
    <font>
      <b/>
      <sz val="12"/>
      <color indexed="9"/>
      <name val="Arial"/>
      <family val="2"/>
    </font>
    <font>
      <b/>
      <sz val="20"/>
      <color indexed="9"/>
      <name val="Arial Narrow"/>
      <family val="2"/>
    </font>
    <font>
      <sz val="11"/>
      <color indexed="8"/>
      <name val="Arial Narrow"/>
      <family val="2"/>
    </font>
    <font>
      <sz val="11"/>
      <color indexed="9"/>
      <name val="Arial Narrow"/>
      <family val="2"/>
    </font>
    <font>
      <b/>
      <sz val="18"/>
      <color indexed="9"/>
      <name val="Arial"/>
      <family val="2"/>
    </font>
    <font>
      <sz val="20"/>
      <color indexed="10"/>
      <name val="Arial"/>
      <family val="2"/>
    </font>
    <font>
      <b/>
      <sz val="12"/>
      <color indexed="10"/>
      <name val="Arial"/>
      <family val="2"/>
    </font>
    <font>
      <b/>
      <sz val="10"/>
      <color indexed="10"/>
      <name val="Arial"/>
      <family val="2"/>
    </font>
    <font>
      <b/>
      <sz val="10"/>
      <color indexed="8"/>
      <name val="Arial"/>
      <family val="2"/>
    </font>
    <font>
      <b/>
      <sz val="16"/>
      <color indexed="8"/>
      <name val="Arial"/>
      <family val="2"/>
    </font>
    <font>
      <b/>
      <i/>
      <sz val="10"/>
      <name val="Arial"/>
      <family val="2"/>
    </font>
    <font>
      <b/>
      <i/>
      <sz val="10"/>
      <color indexed="8"/>
      <name val="Arial"/>
      <family val="2"/>
    </font>
    <font>
      <b/>
      <sz val="16"/>
      <color indexed="9"/>
      <name val="Arial Narrow"/>
      <family val="2"/>
    </font>
    <font>
      <b/>
      <sz val="12"/>
      <color indexed="9"/>
      <name val="Arial Narrow"/>
      <family val="2"/>
    </font>
    <font>
      <b/>
      <sz val="10"/>
      <color indexed="9"/>
      <name val="Arial Narrow"/>
      <family val="2"/>
    </font>
    <font>
      <sz val="12"/>
      <color indexed="8"/>
      <name val="Arial"/>
      <family val="2"/>
    </font>
    <font>
      <sz val="10"/>
      <color indexed="8"/>
      <name val="Calibri"/>
      <family val="2"/>
    </font>
    <font>
      <sz val="10"/>
      <color indexed="9"/>
      <name val="Arial Narrow"/>
      <family val="2"/>
    </font>
    <font>
      <sz val="14"/>
      <color indexed="9"/>
      <name val="Arial"/>
      <family val="2"/>
    </font>
    <font>
      <sz val="10"/>
      <color indexed="8"/>
      <name val="Arial Narrow"/>
      <family val="2"/>
    </font>
    <font>
      <b/>
      <sz val="11"/>
      <name val="Arial Narrow"/>
      <family val="2"/>
    </font>
    <font>
      <sz val="10"/>
      <name val="Arial Narrow"/>
      <family val="2"/>
    </font>
    <font>
      <sz val="16"/>
      <color indexed="9"/>
      <name val="Calibri"/>
      <family val="2"/>
    </font>
    <font>
      <b/>
      <sz val="18"/>
      <name val="Calibri"/>
      <family val="2"/>
    </font>
    <font>
      <sz val="10"/>
      <name val="Arial"/>
      <family val="2"/>
    </font>
    <font>
      <b/>
      <sz val="14"/>
      <name val="Arial Narrow"/>
      <family val="2"/>
    </font>
    <font>
      <b/>
      <u val="single"/>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indexed="8"/>
      <name val="Arial Narrow"/>
      <family val="2"/>
    </font>
    <font>
      <sz val="15"/>
      <name val="Arial Narrow"/>
      <family val="2"/>
    </font>
    <font>
      <sz val="15"/>
      <color indexed="8"/>
      <name val="Arial Narrow"/>
      <family val="2"/>
    </font>
    <font>
      <sz val="8"/>
      <name val="Calibri"/>
      <family val="2"/>
    </font>
    <font>
      <b/>
      <sz val="18"/>
      <color indexed="8"/>
      <name val="Calibri"/>
      <family val="2"/>
    </font>
    <font>
      <b/>
      <sz val="20"/>
      <name val="Arial"/>
      <family val="2"/>
    </font>
    <font>
      <sz val="18"/>
      <name val="Arial Narrow"/>
      <family val="2"/>
    </font>
    <font>
      <sz val="12"/>
      <color indexed="9"/>
      <name val="Arial Narrow"/>
      <family val="2"/>
    </font>
    <font>
      <b/>
      <sz val="14"/>
      <color indexed="9"/>
      <name val="Arial Narrow"/>
      <family val="2"/>
    </font>
    <font>
      <sz val="12"/>
      <name val="Arial Narrow"/>
      <family val="2"/>
    </font>
    <font>
      <sz val="12"/>
      <color indexed="8"/>
      <name val="Arial Narrow"/>
      <family val="2"/>
    </font>
    <font>
      <sz val="14"/>
      <color indexed="8"/>
      <name val="Calibri"/>
      <family val="2"/>
    </font>
    <font>
      <b/>
      <sz val="14"/>
      <name val="Arial"/>
      <family val="2"/>
    </font>
    <font>
      <sz val="18"/>
      <color indexed="8"/>
      <name val="Arial"/>
      <family val="2"/>
    </font>
    <font>
      <b/>
      <sz val="24"/>
      <color indexed="9"/>
      <name val="Arial Narrow"/>
      <family val="2"/>
    </font>
    <font>
      <b/>
      <sz val="20"/>
      <color indexed="9"/>
      <name val="Arial"/>
      <family val="2"/>
    </font>
    <font>
      <sz val="20"/>
      <color indexed="8"/>
      <name val="Calibri"/>
      <family val="2"/>
    </font>
    <font>
      <b/>
      <u val="single"/>
      <sz val="20"/>
      <color indexed="9"/>
      <name val="Arial"/>
      <family val="2"/>
    </font>
    <font>
      <sz val="25"/>
      <color indexed="8"/>
      <name val="Calibri"/>
      <family val="2"/>
    </font>
    <font>
      <sz val="25"/>
      <color indexed="8"/>
      <name val="Arial Narrow"/>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sz val="11"/>
      <color theme="0"/>
      <name val="Arial Narrow"/>
      <family val="2"/>
    </font>
    <font>
      <sz val="20"/>
      <color rgb="FFFF0000"/>
      <name val="Arial"/>
      <family val="2"/>
    </font>
    <font>
      <b/>
      <sz val="12"/>
      <color rgb="FFFF0000"/>
      <name val="Arial"/>
      <family val="2"/>
    </font>
    <font>
      <b/>
      <sz val="18"/>
      <color theme="0"/>
      <name val="Arial"/>
      <family val="2"/>
    </font>
    <font>
      <b/>
      <sz val="10"/>
      <color rgb="FFFF0000"/>
      <name val="Arial"/>
      <family val="2"/>
    </font>
    <font>
      <b/>
      <sz val="10"/>
      <color theme="1"/>
      <name val="Arial"/>
      <family val="2"/>
    </font>
    <font>
      <b/>
      <sz val="12"/>
      <color theme="0"/>
      <name val="Arial"/>
      <family val="2"/>
    </font>
    <font>
      <b/>
      <i/>
      <sz val="10"/>
      <color theme="1"/>
      <name val="Arial"/>
      <family val="2"/>
    </font>
    <font>
      <sz val="12"/>
      <color theme="1"/>
      <name val="Arial"/>
      <family val="2"/>
    </font>
    <font>
      <sz val="10"/>
      <color theme="0"/>
      <name val="Arial Narrow"/>
      <family val="2"/>
    </font>
    <font>
      <sz val="10"/>
      <color theme="1"/>
      <name val="Arial Narrow"/>
      <family val="2"/>
    </font>
    <font>
      <sz val="12"/>
      <color theme="0"/>
      <name val="Arial Narrow"/>
      <family val="2"/>
    </font>
    <font>
      <b/>
      <sz val="14"/>
      <color theme="0"/>
      <name val="Arial Narrow"/>
      <family val="2"/>
    </font>
    <font>
      <sz val="12"/>
      <color theme="1"/>
      <name val="Arial Narrow"/>
      <family val="2"/>
    </font>
    <font>
      <sz val="18"/>
      <color theme="1"/>
      <name val="Arial"/>
      <family val="2"/>
    </font>
    <font>
      <b/>
      <sz val="24"/>
      <color theme="0"/>
      <name val="Arial Narrow"/>
      <family val="2"/>
    </font>
    <font>
      <sz val="20"/>
      <color theme="1"/>
      <name val="Calibri"/>
      <family val="2"/>
    </font>
    <font>
      <b/>
      <sz val="20"/>
      <color theme="0"/>
      <name val="Arial"/>
      <family val="2"/>
    </font>
    <font>
      <sz val="15"/>
      <color theme="1"/>
      <name val="Arial Narrow"/>
      <family val="2"/>
    </font>
    <font>
      <b/>
      <sz val="10"/>
      <color theme="0"/>
      <name val="Arial Narrow"/>
      <family val="2"/>
    </font>
    <font>
      <sz val="14"/>
      <color theme="1"/>
      <name val="Calibri"/>
      <family val="2"/>
    </font>
    <font>
      <b/>
      <sz val="16"/>
      <color theme="1"/>
      <name val="Arial"/>
      <family val="2"/>
    </font>
    <font>
      <sz val="25"/>
      <color theme="1"/>
      <name val="Calibri"/>
      <family val="2"/>
    </font>
    <font>
      <b/>
      <sz val="12"/>
      <color theme="0"/>
      <name val="Arial Narrow"/>
      <family val="2"/>
    </font>
    <font>
      <b/>
      <sz val="16"/>
      <color theme="0"/>
      <name val="Arial Narrow"/>
      <family val="2"/>
    </font>
    <font>
      <b/>
      <sz val="10"/>
      <color theme="1"/>
      <name val="Arial Narrow"/>
      <family val="2"/>
    </font>
    <font>
      <b/>
      <sz val="18"/>
      <color theme="1"/>
      <name val="Calibri"/>
      <family val="2"/>
    </font>
    <font>
      <sz val="16"/>
      <color theme="0"/>
      <name val="Calibri"/>
      <family val="2"/>
    </font>
    <font>
      <sz val="14"/>
      <color theme="0"/>
      <name val="Arial"/>
      <family val="2"/>
    </font>
    <font>
      <b/>
      <sz val="20"/>
      <color theme="0"/>
      <name val="Arial Narrow"/>
      <family val="2"/>
    </font>
    <font>
      <sz val="25"/>
      <color theme="1"/>
      <name val="Arial Narrow"/>
      <family val="2"/>
    </font>
    <font>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rgb="FFFFCC00"/>
        <bgColor indexed="64"/>
      </patternFill>
    </fill>
    <fill>
      <patternFill patternType="solid">
        <fgColor rgb="FF83A343"/>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24997000396251678"/>
        <bgColor indexed="64"/>
      </patternFill>
    </fill>
    <fill>
      <patternFill patternType="solid">
        <fgColor theme="3" tint="0.5999900102615356"/>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style="thin"/>
      <bottom/>
    </border>
    <border>
      <left style="thin"/>
      <right style="thin"/>
      <top style="thin"/>
      <bottom style="thin"/>
    </border>
    <border>
      <left style="thick"/>
      <right/>
      <top/>
      <bottom style="thick"/>
    </border>
    <border>
      <left/>
      <right/>
      <top/>
      <bottom style="thick"/>
    </border>
    <border>
      <left/>
      <right style="thick"/>
      <top/>
      <bottom style="thick"/>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thin"/>
      <top style="thin"/>
      <bottom/>
    </border>
    <border>
      <left style="thin"/>
      <right/>
      <top style="thin"/>
      <bottom/>
    </border>
    <border>
      <left style="thin"/>
      <right style="thin"/>
      <top style="medium"/>
      <bottom style="thin"/>
    </border>
    <border>
      <left style="thin"/>
      <right style="thin"/>
      <top style="thin"/>
      <bottom style="medium"/>
    </border>
    <border>
      <left style="thin">
        <color rgb="FF81829A"/>
      </left>
      <right style="thin">
        <color rgb="FF81829A"/>
      </right>
      <top style="thin">
        <color rgb="FF81829A"/>
      </top>
      <bottom style="thin">
        <color rgb="FF81829A"/>
      </bottom>
    </border>
    <border>
      <left/>
      <right style="thin"/>
      <top style="medium"/>
      <bottom style="thin"/>
    </border>
    <border>
      <left/>
      <right style="thin"/>
      <top style="thin"/>
      <bottom style="thin"/>
    </border>
    <border>
      <left/>
      <right style="thin"/>
      <top style="thin"/>
      <bottom style="medium"/>
    </border>
    <border>
      <left style="hair"/>
      <right style="hair"/>
      <top style="hair"/>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thin"/>
      <right style="thin"/>
      <top/>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medium"/>
      <right style="medium"/>
      <top style="medium"/>
      <bottom style="medium"/>
    </border>
    <border>
      <left style="thin"/>
      <right/>
      <top/>
      <bottom/>
    </border>
    <border>
      <left style="medium"/>
      <right style="thin"/>
      <top style="medium"/>
      <bottom/>
    </border>
    <border>
      <left style="medium"/>
      <right/>
      <top style="medium"/>
      <bottom style="thin"/>
    </border>
    <border>
      <left/>
      <right/>
      <top style="medium"/>
      <bottom style="thin"/>
    </border>
    <border>
      <left/>
      <right style="medium"/>
      <top style="medium"/>
      <bottom style="thin"/>
    </border>
    <border>
      <left style="double"/>
      <right/>
      <top style="double"/>
      <bottom/>
    </border>
    <border>
      <left/>
      <right style="thin">
        <color theme="0"/>
      </right>
      <top style="double"/>
      <bottom/>
    </border>
    <border>
      <left style="thin">
        <color theme="0"/>
      </left>
      <right/>
      <top style="double"/>
      <bottom style="thin"/>
    </border>
    <border>
      <left/>
      <right style="double"/>
      <top style="double"/>
      <bottom style="thin"/>
    </border>
    <border>
      <left style="double"/>
      <right/>
      <top style="thin"/>
      <bottom style="hair"/>
    </border>
    <border>
      <left/>
      <right style="hair"/>
      <top style="thin"/>
      <bottom style="hair"/>
    </border>
    <border>
      <left style="hair"/>
      <right/>
      <top style="thin"/>
      <bottom style="hair"/>
    </border>
    <border>
      <left/>
      <right style="double"/>
      <top style="thin"/>
      <bottom style="hair"/>
    </border>
    <border>
      <left style="double"/>
      <right style="hair"/>
      <top style="hair"/>
      <bottom style="hair"/>
    </border>
    <border>
      <left style="hair"/>
      <right style="hair"/>
      <top style="hair"/>
      <bottom style="hair"/>
    </border>
    <border>
      <left style="hair"/>
      <right/>
      <top style="hair"/>
      <bottom style="hair"/>
    </border>
    <border>
      <left/>
      <right style="double"/>
      <top style="hair"/>
      <bottom style="hair"/>
    </border>
    <border>
      <left style="double"/>
      <right/>
      <top style="hair"/>
      <bottom style="hair"/>
    </border>
    <border>
      <left/>
      <right style="hair"/>
      <top style="hair"/>
      <bottom style="hair"/>
    </border>
    <border>
      <left style="medium"/>
      <right style="dashed"/>
      <top style="medium"/>
      <bottom style="medium"/>
    </border>
    <border>
      <left style="dashed"/>
      <right style="dashed"/>
      <top style="medium"/>
      <bottom style="medium"/>
    </border>
    <border>
      <left style="medium"/>
      <right style="dashed"/>
      <top style="dashed"/>
      <bottom style="dashed"/>
    </border>
    <border>
      <left style="dashed"/>
      <right style="dashed"/>
      <top style="dashed"/>
      <bottom style="dashed"/>
    </border>
    <border>
      <left style="dashed"/>
      <right/>
      <top style="dashed"/>
      <bottom style="dashed"/>
    </border>
    <border>
      <left/>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right/>
      <top style="dashed"/>
      <bottom/>
    </border>
    <border>
      <left style="dashed"/>
      <right style="medium"/>
      <top style="medium"/>
      <bottom style="medium"/>
    </border>
    <border>
      <left style="medium"/>
      <right style="dashed"/>
      <top/>
      <bottom style="dashed"/>
    </border>
    <border>
      <left style="dashed"/>
      <right style="dashed"/>
      <top/>
      <bottom style="dashed"/>
    </border>
    <border>
      <left style="dashed"/>
      <right style="medium"/>
      <top/>
      <bottom style="dashed"/>
    </border>
    <border>
      <left style="thin"/>
      <right style="thin"/>
      <top/>
      <bottom/>
    </border>
    <border>
      <left style="medium"/>
      <right style="thin"/>
      <top/>
      <bottom/>
    </border>
    <border>
      <left style="medium"/>
      <right style="thin"/>
      <top/>
      <bottom style="mediu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style="medium"/>
      <top style="medium"/>
      <bottom/>
    </border>
    <border>
      <left style="medium"/>
      <right style="medium"/>
      <top/>
      <bottom/>
    </border>
    <border>
      <left style="medium"/>
      <right style="hair"/>
      <top style="medium"/>
      <bottom style="hair"/>
    </border>
    <border>
      <left style="medium"/>
      <right style="hair"/>
      <top style="hair"/>
      <bottom/>
    </border>
    <border>
      <left style="hair"/>
      <right/>
      <top style="medium"/>
      <bottom style="hair"/>
    </border>
    <border>
      <left/>
      <right/>
      <top style="medium"/>
      <bottom style="hair"/>
    </border>
    <border>
      <left style="hair"/>
      <right style="hair"/>
      <top style="medium"/>
      <bottom/>
    </border>
    <border>
      <left style="hair"/>
      <right style="hair"/>
      <top/>
      <bottom/>
    </border>
    <border>
      <left style="hair"/>
      <right style="medium"/>
      <top style="medium"/>
      <bottom style="hair"/>
    </border>
    <border>
      <left style="hair"/>
      <right style="medium"/>
      <top style="hair"/>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color rgb="FF81829A"/>
      </left>
      <right/>
      <top style="thin">
        <color rgb="FF81829A"/>
      </top>
      <bottom style="thin"/>
    </border>
    <border>
      <left/>
      <right/>
      <top style="thin">
        <color rgb="FF81829A"/>
      </top>
      <bottom style="thin"/>
    </border>
    <border>
      <left/>
      <right style="thin">
        <color rgb="FF81829A"/>
      </right>
      <top style="thin">
        <color rgb="FF81829A"/>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30" fillId="0" borderId="0">
      <alignment/>
      <protection/>
    </xf>
    <xf numFmtId="0" fontId="84" fillId="0" borderId="0">
      <alignment/>
      <protection/>
    </xf>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0" fillId="0" borderId="8" applyNumberFormat="0" applyFill="0" applyAlignment="0" applyProtection="0"/>
    <xf numFmtId="0" fontId="91" fillId="0" borderId="9" applyNumberFormat="0" applyFill="0" applyAlignment="0" applyProtection="0"/>
  </cellStyleXfs>
  <cellXfs count="320">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92" fillId="33" borderId="0" xfId="0" applyFont="1" applyFill="1" applyAlignment="1">
      <alignment horizontal="center"/>
    </xf>
    <xf numFmtId="0" fontId="0" fillId="33" borderId="14" xfId="0" applyFill="1" applyBorder="1" applyAlignment="1">
      <alignment/>
    </xf>
    <xf numFmtId="164" fontId="92" fillId="33" borderId="0" xfId="0" applyNumberFormat="1" applyFont="1" applyFill="1" applyAlignment="1">
      <alignment horizontal="center"/>
    </xf>
    <xf numFmtId="0" fontId="93" fillId="33" borderId="0" xfId="0" applyFont="1" applyFill="1" applyAlignment="1">
      <alignment vertical="center"/>
    </xf>
    <xf numFmtId="0" fontId="94" fillId="33" borderId="0" xfId="0" applyFont="1" applyFill="1" applyAlignment="1">
      <alignment horizontal="center" vertical="center"/>
    </xf>
    <xf numFmtId="0" fontId="95" fillId="33" borderId="0" xfId="0" applyFont="1" applyFill="1" applyAlignment="1">
      <alignment/>
    </xf>
    <xf numFmtId="0" fontId="96"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0" xfId="0" applyFont="1" applyFill="1" applyAlignment="1">
      <alignment horizontal="center" vertical="center"/>
    </xf>
    <xf numFmtId="0" fontId="97" fillId="33" borderId="0" xfId="0" applyFont="1" applyFill="1" applyAlignment="1">
      <alignment wrapText="1"/>
    </xf>
    <xf numFmtId="0" fontId="98" fillId="33" borderId="0" xfId="0" applyFont="1" applyFill="1" applyAlignment="1">
      <alignment wrapText="1"/>
    </xf>
    <xf numFmtId="0" fontId="99" fillId="0" borderId="0" xfId="0" applyFont="1" applyAlignment="1">
      <alignment vertical="center"/>
    </xf>
    <xf numFmtId="9" fontId="4" fillId="0" borderId="0" xfId="0" applyNumberFormat="1" applyFont="1" applyAlignment="1">
      <alignment vertical="center"/>
    </xf>
    <xf numFmtId="0" fontId="4" fillId="33" borderId="14" xfId="0" applyFont="1" applyFill="1" applyBorder="1" applyAlignment="1">
      <alignment vertical="center"/>
    </xf>
    <xf numFmtId="0" fontId="4" fillId="33" borderId="0" xfId="0" applyFont="1" applyFill="1" applyAlignment="1">
      <alignment vertical="center"/>
    </xf>
    <xf numFmtId="0" fontId="0" fillId="0" borderId="16" xfId="0" applyBorder="1" applyAlignment="1">
      <alignment/>
    </xf>
    <xf numFmtId="0" fontId="99" fillId="33" borderId="0" xfId="0" applyFont="1" applyFill="1" applyAlignment="1">
      <alignment vertical="center"/>
    </xf>
    <xf numFmtId="0" fontId="4" fillId="33" borderId="0" xfId="0" applyFont="1" applyFill="1" applyAlignment="1">
      <alignment horizontal="left" vertical="center"/>
    </xf>
    <xf numFmtId="0" fontId="16" fillId="33" borderId="0" xfId="0" applyFont="1" applyFill="1" applyAlignment="1">
      <alignment vertical="center"/>
    </xf>
    <xf numFmtId="0" fontId="100" fillId="33" borderId="0" xfId="0" applyFont="1" applyFill="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101" fillId="0" borderId="0" xfId="0" applyFont="1" applyAlignment="1">
      <alignment horizontal="center" wrapText="1"/>
    </xf>
    <xf numFmtId="0" fontId="99" fillId="33" borderId="0" xfId="0" applyFont="1" applyFill="1" applyAlignment="1">
      <alignment horizontal="center" vertical="center" wrapText="1"/>
    </xf>
    <xf numFmtId="0" fontId="75" fillId="33" borderId="0" xfId="0" applyFont="1" applyFill="1" applyAlignment="1">
      <alignment/>
    </xf>
    <xf numFmtId="0" fontId="99" fillId="33" borderId="0" xfId="0" applyFont="1" applyFill="1" applyAlignment="1">
      <alignment horizontal="left" vertical="center"/>
    </xf>
    <xf numFmtId="9" fontId="99" fillId="33" borderId="0" xfId="0" applyNumberFormat="1" applyFont="1" applyFill="1" applyAlignment="1">
      <alignment horizontal="center" vertical="center"/>
    </xf>
    <xf numFmtId="0" fontId="75" fillId="33" borderId="0" xfId="0" applyFont="1" applyFill="1" applyAlignment="1">
      <alignment horizontal="left"/>
    </xf>
    <xf numFmtId="0" fontId="102" fillId="0" borderId="0" xfId="52" applyFont="1" applyAlignment="1" applyProtection="1">
      <alignment vertical="center"/>
      <protection locked="0"/>
    </xf>
    <xf numFmtId="49" fontId="103" fillId="33" borderId="0" xfId="52" applyNumberFormat="1" applyFont="1" applyFill="1" applyAlignment="1" applyProtection="1">
      <alignment vertical="center"/>
      <protection locked="0"/>
    </xf>
    <xf numFmtId="0" fontId="103" fillId="33" borderId="0" xfId="52" applyFont="1" applyFill="1" applyAlignment="1" applyProtection="1">
      <alignment vertical="center"/>
      <protection locked="0"/>
    </xf>
    <xf numFmtId="9" fontId="27" fillId="33" borderId="0" xfId="52" applyNumberFormat="1" applyFont="1" applyFill="1" applyAlignment="1" applyProtection="1">
      <alignment vertical="center"/>
      <protection locked="0"/>
    </xf>
    <xf numFmtId="9" fontId="102" fillId="33" borderId="0" xfId="55" applyFont="1" applyFill="1" applyAlignment="1" applyProtection="1">
      <alignment vertical="center"/>
      <protection locked="0"/>
    </xf>
    <xf numFmtId="9" fontId="102" fillId="33" borderId="0" xfId="52" applyNumberFormat="1" applyFont="1" applyFill="1" applyAlignment="1" applyProtection="1">
      <alignment vertical="center"/>
      <protection locked="0"/>
    </xf>
    <xf numFmtId="0" fontId="27" fillId="33" borderId="0" xfId="52" applyFont="1" applyFill="1" applyAlignment="1" applyProtection="1">
      <alignment vertical="center"/>
      <protection locked="0"/>
    </xf>
    <xf numFmtId="0" fontId="27" fillId="0" borderId="0" xfId="51" applyFont="1">
      <alignment/>
      <protection/>
    </xf>
    <xf numFmtId="0" fontId="92" fillId="33" borderId="0" xfId="0" applyFont="1" applyFill="1" applyAlignment="1">
      <alignment/>
    </xf>
    <xf numFmtId="0" fontId="92" fillId="0" borderId="0" xfId="0" applyFont="1" applyAlignment="1">
      <alignment/>
    </xf>
    <xf numFmtId="0" fontId="37" fillId="0" borderId="0" xfId="0" applyFont="1" applyAlignment="1">
      <alignment vertical="top"/>
    </xf>
    <xf numFmtId="49" fontId="37" fillId="0" borderId="0" xfId="0" applyNumberFormat="1" applyFont="1" applyAlignment="1">
      <alignment horizontal="center" vertical="top"/>
    </xf>
    <xf numFmtId="0" fontId="102" fillId="33" borderId="0" xfId="52" applyFont="1" applyFill="1" applyAlignment="1" applyProtection="1">
      <alignment vertical="center"/>
      <protection locked="0"/>
    </xf>
    <xf numFmtId="0" fontId="27" fillId="33" borderId="0" xfId="51" applyFont="1" applyFill="1">
      <alignment/>
      <protection/>
    </xf>
    <xf numFmtId="0" fontId="27" fillId="33" borderId="20" xfId="51" applyFont="1" applyFill="1" applyBorder="1" applyAlignment="1">
      <alignment vertical="top" wrapText="1"/>
      <protection/>
    </xf>
    <xf numFmtId="0" fontId="27" fillId="33" borderId="0" xfId="51" applyFont="1" applyFill="1" applyAlignment="1">
      <alignment vertical="top" wrapText="1"/>
      <protection/>
    </xf>
    <xf numFmtId="0" fontId="27" fillId="33" borderId="21" xfId="51" applyFont="1" applyFill="1" applyBorder="1" applyAlignment="1">
      <alignment vertical="top" wrapText="1"/>
      <protection/>
    </xf>
    <xf numFmtId="0" fontId="27" fillId="33" borderId="20" xfId="51" applyFont="1" applyFill="1" applyBorder="1" applyAlignment="1">
      <alignment horizontal="left" vertical="top"/>
      <protection/>
    </xf>
    <xf numFmtId="0" fontId="27" fillId="33" borderId="21" xfId="51" applyFont="1" applyFill="1" applyBorder="1" applyAlignment="1">
      <alignment horizontal="left" vertical="top"/>
      <protection/>
    </xf>
    <xf numFmtId="0" fontId="27" fillId="33" borderId="20" xfId="51" applyFont="1" applyFill="1" applyBorder="1">
      <alignment/>
      <protection/>
    </xf>
    <xf numFmtId="0" fontId="35" fillId="33" borderId="0" xfId="53" applyFont="1" applyFill="1" applyAlignment="1">
      <alignment horizontal="left" vertical="top" wrapText="1" readingOrder="1"/>
      <protection/>
    </xf>
    <xf numFmtId="0" fontId="27" fillId="33" borderId="21" xfId="51" applyFont="1" applyFill="1" applyBorder="1">
      <alignment/>
      <protection/>
    </xf>
    <xf numFmtId="0" fontId="27" fillId="33" borderId="22" xfId="51" applyFont="1" applyFill="1" applyBorder="1">
      <alignment/>
      <protection/>
    </xf>
    <xf numFmtId="0" fontId="27" fillId="33" borderId="23" xfId="51" applyFont="1" applyFill="1" applyBorder="1">
      <alignment/>
      <protection/>
    </xf>
    <xf numFmtId="0" fontId="27" fillId="33" borderId="24" xfId="51" applyFont="1" applyFill="1" applyBorder="1">
      <alignment/>
      <protection/>
    </xf>
    <xf numFmtId="0" fontId="35" fillId="33" borderId="0" xfId="0" applyFont="1" applyFill="1" applyAlignment="1">
      <alignment horizontal="left" vertical="center" wrapText="1"/>
    </xf>
    <xf numFmtId="0" fontId="36" fillId="33" borderId="0" xfId="0" applyFont="1" applyFill="1" applyAlignment="1">
      <alignment horizontal="left" vertical="top" wrapText="1"/>
    </xf>
    <xf numFmtId="0" fontId="27" fillId="33" borderId="0" xfId="51" applyFont="1" applyFill="1" applyAlignment="1" quotePrefix="1">
      <alignment horizontal="left" vertical="center" wrapText="1"/>
      <protection/>
    </xf>
    <xf numFmtId="0" fontId="33" fillId="33" borderId="0" xfId="51" applyFont="1" applyFill="1" applyAlignment="1">
      <alignment horizontal="left" vertical="center" wrapText="1"/>
      <protection/>
    </xf>
    <xf numFmtId="0" fontId="27" fillId="33" borderId="0" xfId="51" applyFont="1" applyFill="1" applyAlignment="1">
      <alignment horizontal="left" vertical="center" wrapText="1"/>
      <protection/>
    </xf>
    <xf numFmtId="0" fontId="92" fillId="33" borderId="0" xfId="0" applyFont="1" applyFill="1" applyAlignment="1">
      <alignment vertical="center"/>
    </xf>
    <xf numFmtId="0" fontId="92" fillId="0" borderId="0" xfId="0" applyFont="1" applyAlignment="1">
      <alignment vertical="center"/>
    </xf>
    <xf numFmtId="0" fontId="93" fillId="33" borderId="0" xfId="0" applyFont="1" applyFill="1" applyAlignment="1">
      <alignment/>
    </xf>
    <xf numFmtId="0" fontId="93" fillId="0" borderId="0" xfId="0" applyFont="1" applyAlignment="1">
      <alignment vertical="top"/>
    </xf>
    <xf numFmtId="0" fontId="93" fillId="0" borderId="0" xfId="0" applyFont="1" applyAlignment="1">
      <alignment/>
    </xf>
    <xf numFmtId="0" fontId="104" fillId="34" borderId="25" xfId="0" applyFont="1" applyFill="1" applyBorder="1" applyAlignment="1">
      <alignment horizontal="center" vertical="top" wrapText="1"/>
    </xf>
    <xf numFmtId="49" fontId="105" fillId="23" borderId="26" xfId="0" applyNumberFormat="1" applyFont="1" applyFill="1" applyBorder="1" applyAlignment="1">
      <alignment horizontal="center" vertical="center" wrapText="1"/>
    </xf>
    <xf numFmtId="0" fontId="105" fillId="23" borderId="26" xfId="0" applyFont="1" applyFill="1" applyBorder="1" applyAlignment="1">
      <alignment horizontal="center" vertical="center" wrapText="1"/>
    </xf>
    <xf numFmtId="0" fontId="105" fillId="23" borderId="27" xfId="0" applyFont="1" applyFill="1" applyBorder="1" applyAlignment="1">
      <alignment horizontal="center" vertical="center" wrapText="1"/>
    </xf>
    <xf numFmtId="0" fontId="47" fillId="0" borderId="28" xfId="0" applyFont="1" applyBorder="1" applyAlignment="1">
      <alignment horizontal="center" vertical="center" wrapText="1"/>
    </xf>
    <xf numFmtId="0" fontId="47" fillId="0" borderId="28" xfId="0" applyFont="1" applyBorder="1" applyAlignment="1">
      <alignment horizontal="left" vertical="center" wrapText="1"/>
    </xf>
    <xf numFmtId="0" fontId="47" fillId="0" borderId="16" xfId="0" applyFont="1" applyBorder="1" applyAlignment="1">
      <alignment horizontal="center" vertical="center" wrapText="1"/>
    </xf>
    <xf numFmtId="0" fontId="106" fillId="0" borderId="16" xfId="0" applyFont="1" applyBorder="1" applyAlignment="1">
      <alignment horizontal="left" vertical="center" wrapText="1"/>
    </xf>
    <xf numFmtId="0" fontId="47" fillId="0" borderId="16" xfId="0" applyFont="1" applyBorder="1" applyAlignment="1">
      <alignment horizontal="left" vertical="center" wrapText="1"/>
    </xf>
    <xf numFmtId="0" fontId="47" fillId="0" borderId="29" xfId="0" applyFont="1" applyBorder="1" applyAlignment="1">
      <alignment horizontal="center" vertical="center" wrapText="1"/>
    </xf>
    <xf numFmtId="0" fontId="47" fillId="0" borderId="29" xfId="0" applyFont="1" applyBorder="1" applyAlignment="1">
      <alignment horizontal="left" vertical="center" wrapText="1"/>
    </xf>
    <xf numFmtId="0" fontId="96" fillId="35" borderId="16" xfId="0" applyFont="1" applyFill="1" applyBorder="1" applyAlignment="1">
      <alignment horizontal="center" vertical="center" wrapText="1"/>
    </xf>
    <xf numFmtId="0" fontId="107" fillId="0" borderId="0" xfId="0" applyFont="1" applyAlignment="1">
      <alignment horizontal="center" wrapText="1"/>
    </xf>
    <xf numFmtId="0" fontId="96" fillId="36" borderId="16" xfId="0" applyFont="1" applyFill="1" applyBorder="1" applyAlignment="1">
      <alignment horizontal="center" vertical="center" wrapText="1"/>
    </xf>
    <xf numFmtId="0" fontId="96" fillId="37" borderId="16" xfId="0" applyFont="1" applyFill="1" applyBorder="1" applyAlignment="1">
      <alignment horizontal="center" vertical="center" wrapText="1"/>
    </xf>
    <xf numFmtId="0" fontId="96" fillId="38" borderId="16" xfId="0" applyFont="1" applyFill="1" applyBorder="1" applyAlignment="1">
      <alignment horizontal="center" vertical="center" wrapText="1"/>
    </xf>
    <xf numFmtId="0" fontId="96" fillId="34" borderId="16" xfId="0" applyFont="1" applyFill="1" applyBorder="1" applyAlignment="1">
      <alignment horizontal="center" vertical="center" wrapText="1"/>
    </xf>
    <xf numFmtId="0" fontId="108" fillId="37" borderId="16" xfId="0" applyFont="1" applyFill="1" applyBorder="1" applyAlignment="1">
      <alignment horizontal="center" vertical="center"/>
    </xf>
    <xf numFmtId="0" fontId="43" fillId="0" borderId="16" xfId="0" applyFont="1" applyBorder="1" applyAlignment="1">
      <alignment horizontal="center" vertical="center"/>
    </xf>
    <xf numFmtId="0" fontId="109" fillId="0" borderId="0" xfId="0" applyFont="1" applyAlignment="1">
      <alignment horizontal="center"/>
    </xf>
    <xf numFmtId="0" fontId="110" fillId="39" borderId="30" xfId="0" applyFont="1" applyFill="1" applyBorder="1" applyAlignment="1">
      <alignment horizontal="center" vertical="center" wrapText="1"/>
    </xf>
    <xf numFmtId="0" fontId="43" fillId="0" borderId="0" xfId="0" applyFont="1" applyAlignment="1">
      <alignment horizontal="center" vertical="center" wrapText="1"/>
    </xf>
    <xf numFmtId="0" fontId="26" fillId="33" borderId="0" xfId="52" applyFont="1" applyFill="1" applyAlignment="1">
      <alignment vertical="center" wrapText="1"/>
      <protection/>
    </xf>
    <xf numFmtId="0" fontId="36" fillId="33" borderId="0" xfId="52" applyFont="1" applyFill="1" applyAlignment="1">
      <alignment vertical="center" wrapText="1"/>
      <protection/>
    </xf>
    <xf numFmtId="0" fontId="37" fillId="0" borderId="0" xfId="0" applyFont="1" applyAlignment="1" applyProtection="1">
      <alignment horizontal="center" vertical="top"/>
      <protection hidden="1"/>
    </xf>
    <xf numFmtId="0" fontId="39" fillId="0" borderId="31" xfId="0" applyFont="1" applyBorder="1" applyAlignment="1" applyProtection="1">
      <alignment horizontal="center" vertical="center" wrapText="1"/>
      <protection hidden="1"/>
    </xf>
    <xf numFmtId="0" fontId="93" fillId="0" borderId="0" xfId="0" applyFont="1" applyAlignment="1" applyProtection="1">
      <alignment horizontal="center" vertical="top"/>
      <protection hidden="1"/>
    </xf>
    <xf numFmtId="0" fontId="111" fillId="0" borderId="32" xfId="0" applyFont="1" applyBorder="1" applyAlignment="1" applyProtection="1">
      <alignment horizontal="center" vertical="center" wrapText="1"/>
      <protection hidden="1"/>
    </xf>
    <xf numFmtId="49" fontId="93" fillId="0" borderId="0" xfId="0" applyNumberFormat="1" applyFont="1" applyAlignment="1" applyProtection="1">
      <alignment horizontal="center" vertical="top"/>
      <protection hidden="1"/>
    </xf>
    <xf numFmtId="0" fontId="39" fillId="0" borderId="32" xfId="0" applyFont="1" applyBorder="1" applyAlignment="1" applyProtection="1">
      <alignment horizontal="center" vertical="center" wrapText="1"/>
      <protection hidden="1"/>
    </xf>
    <xf numFmtId="0" fontId="39" fillId="0" borderId="33" xfId="0" applyFont="1" applyBorder="1" applyAlignment="1" applyProtection="1">
      <alignment horizontal="center" vertical="center" wrapText="1"/>
      <protection hidden="1"/>
    </xf>
    <xf numFmtId="0" fontId="93" fillId="0" borderId="0" xfId="0" applyFont="1" applyAlignment="1" applyProtection="1">
      <alignment vertical="top"/>
      <protection hidden="1"/>
    </xf>
    <xf numFmtId="0" fontId="44" fillId="0" borderId="28"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29" xfId="0" applyFont="1" applyBorder="1" applyAlignment="1" applyProtection="1">
      <alignment horizontal="center" vertical="center" wrapText="1"/>
      <protection locked="0"/>
    </xf>
    <xf numFmtId="0" fontId="112" fillId="37" borderId="34" xfId="52" applyFont="1" applyFill="1" applyBorder="1" applyAlignment="1">
      <alignment horizontal="center" vertical="center"/>
      <protection/>
    </xf>
    <xf numFmtId="0" fontId="112" fillId="37" borderId="34" xfId="52" applyFont="1" applyFill="1" applyBorder="1" applyAlignment="1">
      <alignment horizontal="center" vertical="center" wrapText="1"/>
      <protection/>
    </xf>
    <xf numFmtId="0" fontId="3" fillId="0" borderId="28" xfId="0" applyFont="1" applyBorder="1" applyAlignment="1" applyProtection="1">
      <alignment horizontal="left" vertical="center" wrapText="1"/>
      <protection hidden="1"/>
    </xf>
    <xf numFmtId="0" fontId="0" fillId="0" borderId="28" xfId="0" applyBorder="1" applyAlignment="1" applyProtection="1">
      <alignment horizontal="center" vertical="center"/>
      <protection hidden="1"/>
    </xf>
    <xf numFmtId="0" fontId="41" fillId="0" borderId="35" xfId="0" applyFont="1" applyBorder="1" applyAlignment="1" applyProtection="1">
      <alignment vertical="center" wrapText="1"/>
      <protection hidden="1"/>
    </xf>
    <xf numFmtId="0" fontId="3" fillId="0" borderId="16" xfId="0" applyFont="1" applyBorder="1" applyAlignment="1" applyProtection="1">
      <alignment horizontal="left" vertical="center" wrapText="1"/>
      <protection hidden="1"/>
    </xf>
    <xf numFmtId="0" fontId="0" fillId="0" borderId="16" xfId="0" applyBorder="1" applyAlignment="1" applyProtection="1">
      <alignment horizontal="center" vertical="center"/>
      <protection hidden="1"/>
    </xf>
    <xf numFmtId="0" fontId="41" fillId="0" borderId="36" xfId="0" applyFont="1" applyBorder="1" applyAlignment="1" applyProtection="1">
      <alignment vertical="center" wrapText="1"/>
      <protection hidden="1"/>
    </xf>
    <xf numFmtId="0" fontId="3" fillId="0" borderId="29" xfId="0" applyFont="1" applyBorder="1" applyAlignment="1" applyProtection="1">
      <alignment horizontal="left" vertical="center" wrapText="1"/>
      <protection hidden="1"/>
    </xf>
    <xf numFmtId="0" fontId="0" fillId="0" borderId="29" xfId="0" applyBorder="1" applyAlignment="1" applyProtection="1">
      <alignment horizontal="center" vertical="center"/>
      <protection hidden="1"/>
    </xf>
    <xf numFmtId="0" fontId="41" fillId="0" borderId="37" xfId="0" applyFont="1" applyBorder="1" applyAlignment="1" applyProtection="1">
      <alignment vertical="center" wrapText="1"/>
      <protection hidden="1"/>
    </xf>
    <xf numFmtId="0" fontId="3" fillId="0" borderId="26" xfId="0" applyFont="1" applyBorder="1" applyAlignment="1" applyProtection="1">
      <alignment horizontal="left" vertical="center" wrapText="1"/>
      <protection hidden="1"/>
    </xf>
    <xf numFmtId="0" fontId="0" fillId="0" borderId="26" xfId="0" applyBorder="1" applyAlignment="1" applyProtection="1">
      <alignment horizontal="center" vertical="center"/>
      <protection hidden="1"/>
    </xf>
    <xf numFmtId="0" fontId="41" fillId="0" borderId="38" xfId="0" applyFont="1" applyBorder="1" applyAlignment="1" applyProtection="1">
      <alignment vertical="center" wrapText="1"/>
      <protection hidden="1"/>
    </xf>
    <xf numFmtId="0" fontId="3" fillId="0" borderId="39" xfId="0" applyFont="1" applyBorder="1" applyAlignment="1" applyProtection="1">
      <alignment horizontal="left" vertical="center" wrapText="1"/>
      <protection hidden="1"/>
    </xf>
    <xf numFmtId="0" fontId="0" fillId="0" borderId="39" xfId="0" applyBorder="1" applyAlignment="1" applyProtection="1">
      <alignment horizontal="center" vertical="center"/>
      <protection hidden="1"/>
    </xf>
    <xf numFmtId="0" fontId="41" fillId="0" borderId="39" xfId="0" applyFont="1" applyBorder="1" applyAlignment="1" applyProtection="1">
      <alignment vertical="center" wrapText="1"/>
      <protection hidden="1"/>
    </xf>
    <xf numFmtId="0" fontId="41" fillId="0" borderId="16" xfId="0" applyFont="1" applyBorder="1" applyAlignment="1" applyProtection="1">
      <alignment vertical="center" wrapText="1"/>
      <protection hidden="1"/>
    </xf>
    <xf numFmtId="0" fontId="41" fillId="0" borderId="26" xfId="0" applyFont="1" applyBorder="1" applyAlignment="1" applyProtection="1">
      <alignment vertical="center" wrapText="1"/>
      <protection hidden="1"/>
    </xf>
    <xf numFmtId="0" fontId="113" fillId="0" borderId="40" xfId="0" applyFont="1" applyBorder="1" applyAlignment="1" applyProtection="1">
      <alignment horizontal="center" vertical="center"/>
      <protection hidden="1"/>
    </xf>
    <xf numFmtId="9" fontId="0" fillId="0" borderId="41" xfId="0" applyNumberFormat="1" applyBorder="1" applyAlignment="1" applyProtection="1">
      <alignment horizontal="center" vertical="center"/>
      <protection hidden="1"/>
    </xf>
    <xf numFmtId="9" fontId="0" fillId="0" borderId="42" xfId="0" applyNumberFormat="1" applyBorder="1" applyAlignment="1" applyProtection="1">
      <alignment horizontal="center" vertical="center"/>
      <protection hidden="1"/>
    </xf>
    <xf numFmtId="9" fontId="0" fillId="0" borderId="43" xfId="0" applyNumberFormat="1" applyBorder="1" applyAlignment="1" applyProtection="1">
      <alignment horizontal="center" vertical="center"/>
      <protection hidden="1"/>
    </xf>
    <xf numFmtId="9" fontId="0" fillId="0" borderId="44" xfId="0" applyNumberFormat="1" applyBorder="1" applyAlignment="1" applyProtection="1">
      <alignment horizontal="center" vertical="center"/>
      <protection hidden="1"/>
    </xf>
    <xf numFmtId="9" fontId="0" fillId="0" borderId="39" xfId="0" applyNumberFormat="1" applyBorder="1" applyAlignment="1" applyProtection="1">
      <alignment horizontal="center" vertical="center"/>
      <protection hidden="1"/>
    </xf>
    <xf numFmtId="9" fontId="0" fillId="0" borderId="16" xfId="0" applyNumberFormat="1" applyBorder="1" applyAlignment="1" applyProtection="1">
      <alignment horizontal="center" vertical="center"/>
      <protection hidden="1"/>
    </xf>
    <xf numFmtId="9" fontId="0" fillId="0" borderId="26" xfId="0" applyNumberFormat="1" applyBorder="1" applyAlignment="1" applyProtection="1">
      <alignment horizontal="center" vertical="center"/>
      <protection hidden="1"/>
    </xf>
    <xf numFmtId="9" fontId="43" fillId="37" borderId="45" xfId="0" applyNumberFormat="1" applyFont="1" applyFill="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9" fontId="114" fillId="40" borderId="16" xfId="0" applyNumberFormat="1" applyFont="1" applyFill="1" applyBorder="1" applyAlignment="1" applyProtection="1">
      <alignment horizontal="center" vertical="center"/>
      <protection hidden="1"/>
    </xf>
    <xf numFmtId="49" fontId="115" fillId="33" borderId="28" xfId="0" applyNumberFormat="1" applyFont="1" applyFill="1" applyBorder="1" applyAlignment="1" applyProtection="1">
      <alignment horizontal="center" vertical="center" wrapText="1"/>
      <protection locked="0"/>
    </xf>
    <xf numFmtId="49" fontId="115" fillId="33" borderId="16" xfId="0" applyNumberFormat="1" applyFont="1" applyFill="1" applyBorder="1" applyAlignment="1" applyProtection="1">
      <alignment horizontal="center" vertical="center" wrapText="1"/>
      <protection locked="0"/>
    </xf>
    <xf numFmtId="49" fontId="115" fillId="33" borderId="29" xfId="0" applyNumberFormat="1" applyFont="1" applyFill="1" applyBorder="1" applyAlignment="1" applyProtection="1">
      <alignment horizontal="center" vertical="center" wrapText="1"/>
      <protection locked="0"/>
    </xf>
    <xf numFmtId="49" fontId="116" fillId="23" borderId="26" xfId="0" applyNumberFormat="1" applyFont="1" applyFill="1" applyBorder="1" applyAlignment="1" applyProtection="1">
      <alignment horizontal="center" vertical="center" wrapText="1"/>
      <protection hidden="1"/>
    </xf>
    <xf numFmtId="0" fontId="116" fillId="23" borderId="26" xfId="0" applyFont="1" applyFill="1" applyBorder="1" applyAlignment="1" applyProtection="1">
      <alignment horizontal="center" vertical="center" wrapText="1"/>
      <protection hidden="1"/>
    </xf>
    <xf numFmtId="0" fontId="116" fillId="23" borderId="27" xfId="0" applyFont="1" applyFill="1" applyBorder="1" applyAlignment="1" applyProtection="1">
      <alignment horizontal="center" vertical="center" wrapText="1"/>
      <protection hidden="1"/>
    </xf>
    <xf numFmtId="0" fontId="116" fillId="23" borderId="46" xfId="0" applyFont="1" applyFill="1" applyBorder="1" applyAlignment="1" applyProtection="1">
      <alignment horizontal="center" vertical="center" wrapText="1"/>
      <protection hidden="1"/>
    </xf>
    <xf numFmtId="0" fontId="0" fillId="0" borderId="0" xfId="0" applyAlignment="1" applyProtection="1">
      <alignment/>
      <protection hidden="1"/>
    </xf>
    <xf numFmtId="9" fontId="0" fillId="0" borderId="0" xfId="55" applyFont="1" applyAlignment="1" applyProtection="1">
      <alignment/>
      <protection hidden="1"/>
    </xf>
    <xf numFmtId="10" fontId="0" fillId="0" borderId="0" xfId="55" applyNumberFormat="1" applyFont="1" applyAlignment="1" applyProtection="1">
      <alignment/>
      <protection hidden="1"/>
    </xf>
    <xf numFmtId="0" fontId="106" fillId="33" borderId="0" xfId="0" applyFont="1" applyFill="1" applyAlignment="1">
      <alignment/>
    </xf>
    <xf numFmtId="0" fontId="116" fillId="23" borderId="38" xfId="0" applyFont="1" applyFill="1" applyBorder="1" applyAlignment="1">
      <alignment horizontal="center" vertical="center" wrapText="1"/>
    </xf>
    <xf numFmtId="0" fontId="47" fillId="0" borderId="31"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106" fillId="0" borderId="0" xfId="0" applyFont="1" applyAlignment="1">
      <alignment/>
    </xf>
    <xf numFmtId="0" fontId="106" fillId="0" borderId="32" xfId="0" applyFont="1" applyBorder="1" applyAlignment="1" applyProtection="1">
      <alignment horizontal="left" vertical="center" wrapText="1"/>
      <protection locked="0"/>
    </xf>
    <xf numFmtId="49" fontId="104" fillId="34" borderId="47" xfId="0" applyNumberFormat="1" applyFont="1" applyFill="1" applyBorder="1" applyAlignment="1">
      <alignment horizontal="center" vertical="center" wrapText="1"/>
    </xf>
    <xf numFmtId="49" fontId="104" fillId="34" borderId="25" xfId="0" applyNumberFormat="1" applyFont="1" applyFill="1" applyBorder="1" applyAlignment="1">
      <alignment horizontal="center" vertical="center" wrapText="1"/>
    </xf>
    <xf numFmtId="0" fontId="31" fillId="0" borderId="48" xfId="51" applyFont="1" applyBorder="1" applyAlignment="1">
      <alignment horizontal="center" vertical="center" wrapText="1"/>
      <protection/>
    </xf>
    <xf numFmtId="0" fontId="31" fillId="0" borderId="49" xfId="51" applyFont="1" applyBorder="1" applyAlignment="1">
      <alignment horizontal="center" vertical="center" wrapText="1"/>
      <protection/>
    </xf>
    <xf numFmtId="0" fontId="31" fillId="0" borderId="50" xfId="51" applyFont="1" applyBorder="1" applyAlignment="1">
      <alignment horizontal="center" vertical="center" wrapText="1"/>
      <protection/>
    </xf>
    <xf numFmtId="0" fontId="27" fillId="0" borderId="20" xfId="51" applyFont="1" applyBorder="1" applyAlignment="1" quotePrefix="1">
      <alignment horizontal="left" vertical="center" wrapText="1"/>
      <protection/>
    </xf>
    <xf numFmtId="0" fontId="27" fillId="0" borderId="0" xfId="51" applyFont="1" applyAlignment="1" quotePrefix="1">
      <alignment horizontal="left" vertical="center" wrapText="1"/>
      <protection/>
    </xf>
    <xf numFmtId="0" fontId="27" fillId="0" borderId="21" xfId="51" applyFont="1" applyBorder="1" applyAlignment="1" quotePrefix="1">
      <alignment horizontal="left" vertical="center" wrapText="1"/>
      <protection/>
    </xf>
    <xf numFmtId="0" fontId="32" fillId="33" borderId="20" xfId="51" applyFont="1" applyFill="1" applyBorder="1" applyAlignment="1" quotePrefix="1">
      <alignment horizontal="left" vertical="top" wrapText="1"/>
      <protection/>
    </xf>
    <xf numFmtId="0" fontId="26" fillId="33" borderId="0" xfId="51" applyFont="1" applyFill="1" applyAlignment="1" quotePrefix="1">
      <alignment horizontal="left" vertical="top" wrapText="1"/>
      <protection/>
    </xf>
    <xf numFmtId="0" fontId="26" fillId="33" borderId="21" xfId="51" applyFont="1" applyFill="1" applyBorder="1" applyAlignment="1" quotePrefix="1">
      <alignment horizontal="left" vertical="top" wrapText="1"/>
      <protection/>
    </xf>
    <xf numFmtId="0" fontId="27" fillId="33" borderId="20" xfId="51" applyFont="1" applyFill="1" applyBorder="1" applyAlignment="1" quotePrefix="1">
      <alignment horizontal="left" vertical="top" wrapText="1"/>
      <protection/>
    </xf>
    <xf numFmtId="0" fontId="27" fillId="33" borderId="0" xfId="51" applyFont="1" applyFill="1" applyAlignment="1" quotePrefix="1">
      <alignment horizontal="left" vertical="top" wrapText="1"/>
      <protection/>
    </xf>
    <xf numFmtId="0" fontId="27" fillId="33" borderId="21" xfId="51" applyFont="1" applyFill="1" applyBorder="1" applyAlignment="1" quotePrefix="1">
      <alignment horizontal="left" vertical="top" wrapText="1"/>
      <protection/>
    </xf>
    <xf numFmtId="0" fontId="35" fillId="19" borderId="51" xfId="53" applyFont="1" applyFill="1" applyBorder="1" applyAlignment="1">
      <alignment horizontal="center" vertical="center" wrapText="1"/>
      <protection/>
    </xf>
    <xf numFmtId="0" fontId="35" fillId="19" borderId="52" xfId="53" applyFont="1" applyFill="1" applyBorder="1" applyAlignment="1">
      <alignment horizontal="center" vertical="center" wrapText="1"/>
      <protection/>
    </xf>
    <xf numFmtId="0" fontId="35" fillId="19" borderId="53" xfId="51" applyFont="1" applyFill="1" applyBorder="1" applyAlignment="1">
      <alignment horizontal="center" vertical="center"/>
      <protection/>
    </xf>
    <xf numFmtId="0" fontId="35" fillId="19" borderId="54" xfId="51" applyFont="1" applyFill="1" applyBorder="1" applyAlignment="1">
      <alignment horizontal="center" vertical="center"/>
      <protection/>
    </xf>
    <xf numFmtId="0" fontId="35" fillId="33" borderId="55" xfId="53" applyFont="1" applyFill="1" applyBorder="1" applyAlignment="1">
      <alignment horizontal="left" vertical="center" wrapText="1" readingOrder="1"/>
      <protection/>
    </xf>
    <xf numFmtId="0" fontId="35" fillId="33" borderId="56" xfId="53" applyFont="1" applyFill="1" applyBorder="1" applyAlignment="1">
      <alignment horizontal="left" vertical="center" wrapText="1" readingOrder="1"/>
      <protection/>
    </xf>
    <xf numFmtId="0" fontId="36" fillId="0" borderId="57" xfId="51" applyFont="1" applyBorder="1" applyAlignment="1">
      <alignment horizontal="left" vertical="center" wrapText="1"/>
      <protection/>
    </xf>
    <xf numFmtId="0" fontId="36" fillId="0" borderId="58" xfId="51" applyFont="1" applyBorder="1" applyAlignment="1">
      <alignment horizontal="left" vertical="center" wrapText="1"/>
      <protection/>
    </xf>
    <xf numFmtId="0" fontId="35" fillId="33" borderId="59" xfId="0" applyFont="1" applyFill="1" applyBorder="1" applyAlignment="1">
      <alignment horizontal="left" vertical="center" wrapText="1"/>
    </xf>
    <xf numFmtId="0" fontId="35" fillId="33" borderId="60" xfId="0" applyFont="1" applyFill="1" applyBorder="1" applyAlignment="1">
      <alignment horizontal="left" vertical="center" wrapText="1"/>
    </xf>
    <xf numFmtId="0" fontId="36" fillId="0" borderId="61" xfId="51" applyFont="1" applyBorder="1" applyAlignment="1">
      <alignment horizontal="left" vertical="center" wrapText="1"/>
      <protection/>
    </xf>
    <xf numFmtId="0" fontId="36" fillId="0" borderId="62" xfId="51" applyFont="1" applyBorder="1" applyAlignment="1">
      <alignment horizontal="left" vertical="center" wrapText="1"/>
      <protection/>
    </xf>
    <xf numFmtId="0" fontId="36" fillId="0" borderId="61" xfId="51" applyFont="1" applyBorder="1" applyAlignment="1">
      <alignment horizontal="left" vertical="top" wrapText="1"/>
      <protection/>
    </xf>
    <xf numFmtId="0" fontId="36" fillId="0" borderId="62" xfId="51" applyFont="1" applyBorder="1" applyAlignment="1">
      <alignment horizontal="left" vertical="top" wrapText="1"/>
      <protection/>
    </xf>
    <xf numFmtId="0" fontId="27" fillId="33" borderId="20" xfId="51" applyFont="1" applyFill="1" applyBorder="1" applyAlignment="1">
      <alignment horizontal="left" vertical="top" wrapText="1"/>
      <protection/>
    </xf>
    <xf numFmtId="0" fontId="27" fillId="33" borderId="0" xfId="51" applyFont="1" applyFill="1" applyAlignment="1">
      <alignment horizontal="left" vertical="top" wrapText="1"/>
      <protection/>
    </xf>
    <xf numFmtId="0" fontId="27" fillId="33" borderId="21" xfId="51" applyFont="1" applyFill="1" applyBorder="1" applyAlignment="1">
      <alignment horizontal="left" vertical="top" wrapText="1"/>
      <protection/>
    </xf>
    <xf numFmtId="0" fontId="27" fillId="33" borderId="0" xfId="51" applyFont="1" applyFill="1">
      <alignment/>
      <protection/>
    </xf>
    <xf numFmtId="0" fontId="35" fillId="33" borderId="63" xfId="0" applyFont="1" applyFill="1" applyBorder="1" applyAlignment="1">
      <alignment horizontal="left" vertical="center" wrapText="1"/>
    </xf>
    <xf numFmtId="0" fontId="35" fillId="33" borderId="64" xfId="0" applyFont="1" applyFill="1" applyBorder="1" applyAlignment="1">
      <alignment horizontal="left" vertical="center" wrapText="1"/>
    </xf>
    <xf numFmtId="0" fontId="117" fillId="37" borderId="65" xfId="52" applyFont="1" applyFill="1" applyBorder="1" applyAlignment="1">
      <alignment horizontal="center" vertical="center" wrapText="1"/>
      <protection/>
    </xf>
    <xf numFmtId="0" fontId="117" fillId="37" borderId="66" xfId="52" applyFont="1" applyFill="1" applyBorder="1" applyAlignment="1">
      <alignment horizontal="center" vertical="center" wrapText="1"/>
      <protection/>
    </xf>
    <xf numFmtId="0" fontId="26" fillId="41" borderId="67" xfId="52" applyFont="1" applyFill="1" applyBorder="1" applyAlignment="1">
      <alignment horizontal="center" vertical="center"/>
      <protection/>
    </xf>
    <xf numFmtId="0" fontId="26" fillId="41" borderId="68" xfId="52" applyFont="1" applyFill="1" applyBorder="1" applyAlignment="1">
      <alignment horizontal="center" vertical="center"/>
      <protection/>
    </xf>
    <xf numFmtId="0" fontId="27" fillId="0" borderId="69" xfId="52" applyFont="1" applyBorder="1" applyAlignment="1">
      <alignment horizontal="justify" vertical="center" wrapText="1"/>
      <protection/>
    </xf>
    <xf numFmtId="0" fontId="27" fillId="0" borderId="70" xfId="52" applyFont="1" applyBorder="1" applyAlignment="1">
      <alignment horizontal="justify" vertical="center" wrapText="1"/>
      <protection/>
    </xf>
    <xf numFmtId="0" fontId="26" fillId="42" borderId="71" xfId="52" applyFont="1" applyFill="1" applyBorder="1" applyAlignment="1">
      <alignment horizontal="center" vertical="center" wrapText="1"/>
      <protection/>
    </xf>
    <xf numFmtId="0" fontId="26" fillId="42" borderId="72" xfId="52" applyFont="1" applyFill="1" applyBorder="1" applyAlignment="1">
      <alignment horizontal="center" vertical="center"/>
      <protection/>
    </xf>
    <xf numFmtId="0" fontId="27" fillId="0" borderId="72" xfId="52" applyFont="1" applyBorder="1" applyAlignment="1">
      <alignment horizontal="justify" vertical="center" wrapText="1"/>
      <protection/>
    </xf>
    <xf numFmtId="0" fontId="27" fillId="0" borderId="73" xfId="52" applyFont="1" applyBorder="1" applyAlignment="1">
      <alignment horizontal="justify" vertical="center" wrapText="1"/>
      <protection/>
    </xf>
    <xf numFmtId="0" fontId="118" fillId="33" borderId="74" xfId="52" applyFont="1" applyFill="1" applyBorder="1" applyAlignment="1">
      <alignment horizontal="center" vertical="center" wrapText="1"/>
      <protection/>
    </xf>
    <xf numFmtId="0" fontId="103" fillId="33" borderId="74" xfId="52" applyFont="1" applyFill="1" applyBorder="1" applyAlignment="1">
      <alignment horizontal="center" vertical="center" wrapText="1"/>
      <protection/>
    </xf>
    <xf numFmtId="0" fontId="117" fillId="37" borderId="75" xfId="52" applyFont="1" applyFill="1" applyBorder="1" applyAlignment="1">
      <alignment horizontal="center" vertical="center" wrapText="1"/>
      <protection/>
    </xf>
    <xf numFmtId="0" fontId="26" fillId="40" borderId="76" xfId="52" applyFont="1" applyFill="1" applyBorder="1" applyAlignment="1">
      <alignment horizontal="center" vertical="center"/>
      <protection/>
    </xf>
    <xf numFmtId="0" fontId="26" fillId="40" borderId="77" xfId="52" applyFont="1" applyFill="1" applyBorder="1" applyAlignment="1">
      <alignment horizontal="center" vertical="center"/>
      <protection/>
    </xf>
    <xf numFmtId="0" fontId="27" fillId="0" borderId="77" xfId="52" applyFont="1" applyBorder="1" applyAlignment="1">
      <alignment horizontal="justify" vertical="center" wrapText="1"/>
      <protection/>
    </xf>
    <xf numFmtId="0" fontId="27" fillId="0" borderId="78" xfId="52" applyFont="1" applyBorder="1" applyAlignment="1">
      <alignment horizontal="justify" vertical="center" wrapText="1"/>
      <protection/>
    </xf>
    <xf numFmtId="0" fontId="104" fillId="34" borderId="25" xfId="0" applyFont="1" applyFill="1" applyBorder="1" applyAlignment="1">
      <alignment horizontal="center" vertical="center" wrapText="1"/>
    </xf>
    <xf numFmtId="0" fontId="104" fillId="34" borderId="79" xfId="0" applyFont="1" applyFill="1" applyBorder="1" applyAlignment="1">
      <alignment horizontal="center" vertical="center" wrapText="1"/>
    </xf>
    <xf numFmtId="0" fontId="104" fillId="34" borderId="39" xfId="0" applyFont="1" applyFill="1" applyBorder="1" applyAlignment="1">
      <alignment horizontal="center" vertical="center" wrapText="1"/>
    </xf>
    <xf numFmtId="49" fontId="104" fillId="34" borderId="47" xfId="0" applyNumberFormat="1" applyFont="1" applyFill="1" applyBorder="1" applyAlignment="1">
      <alignment horizontal="center" vertical="center" wrapText="1"/>
    </xf>
    <xf numFmtId="49" fontId="104" fillId="34" borderId="80" xfId="0" applyNumberFormat="1" applyFont="1" applyFill="1" applyBorder="1" applyAlignment="1">
      <alignment horizontal="center" vertical="center" wrapText="1"/>
    </xf>
    <xf numFmtId="49" fontId="104" fillId="34" borderId="81" xfId="0" applyNumberFormat="1" applyFont="1" applyFill="1" applyBorder="1" applyAlignment="1">
      <alignment horizontal="center" vertical="center" wrapText="1"/>
    </xf>
    <xf numFmtId="49" fontId="104" fillId="43" borderId="25" xfId="0" applyNumberFormat="1" applyFont="1" applyFill="1" applyBorder="1" applyAlignment="1">
      <alignment horizontal="center" vertical="center" wrapText="1"/>
    </xf>
    <xf numFmtId="49" fontId="104" fillId="43" borderId="79" xfId="0" applyNumberFormat="1" applyFont="1" applyFill="1" applyBorder="1" applyAlignment="1">
      <alignment horizontal="center" vertical="center" wrapText="1"/>
    </xf>
    <xf numFmtId="49" fontId="104" fillId="43" borderId="82" xfId="0" applyNumberFormat="1" applyFont="1" applyFill="1" applyBorder="1" applyAlignment="1">
      <alignment horizontal="center" vertical="center" wrapText="1"/>
    </xf>
    <xf numFmtId="49" fontId="104" fillId="44" borderId="25" xfId="0" applyNumberFormat="1" applyFont="1" applyFill="1" applyBorder="1" applyAlignment="1">
      <alignment horizontal="center" vertical="center" wrapText="1"/>
    </xf>
    <xf numFmtId="49" fontId="104" fillId="44" borderId="79" xfId="0" applyNumberFormat="1" applyFont="1" applyFill="1" applyBorder="1" applyAlignment="1">
      <alignment horizontal="center" vertical="center" wrapText="1"/>
    </xf>
    <xf numFmtId="49" fontId="104" fillId="44" borderId="82" xfId="0" applyNumberFormat="1" applyFont="1" applyFill="1" applyBorder="1" applyAlignment="1">
      <alignment horizontal="center" vertical="center" wrapText="1"/>
    </xf>
    <xf numFmtId="49" fontId="104" fillId="37" borderId="25" xfId="0" applyNumberFormat="1" applyFont="1" applyFill="1" applyBorder="1" applyAlignment="1">
      <alignment horizontal="center" vertical="center" wrapText="1"/>
    </xf>
    <xf numFmtId="49" fontId="104" fillId="37" borderId="79" xfId="0" applyNumberFormat="1" applyFont="1" applyFill="1" applyBorder="1" applyAlignment="1">
      <alignment horizontal="center" vertical="center" wrapText="1"/>
    </xf>
    <xf numFmtId="49" fontId="104" fillId="37" borderId="82" xfId="0" applyNumberFormat="1" applyFont="1" applyFill="1" applyBorder="1" applyAlignment="1">
      <alignment horizontal="center" vertical="center" wrapText="1"/>
    </xf>
    <xf numFmtId="49" fontId="104" fillId="38" borderId="25" xfId="0" applyNumberFormat="1" applyFont="1" applyFill="1" applyBorder="1" applyAlignment="1">
      <alignment horizontal="center" vertical="center" wrapText="1"/>
    </xf>
    <xf numFmtId="49" fontId="104" fillId="38" borderId="79" xfId="0" applyNumberFormat="1" applyFont="1" applyFill="1" applyBorder="1" applyAlignment="1">
      <alignment horizontal="center" vertical="center" wrapText="1"/>
    </xf>
    <xf numFmtId="49" fontId="104" fillId="38" borderId="82" xfId="0" applyNumberFormat="1" applyFont="1" applyFill="1" applyBorder="1" applyAlignment="1">
      <alignment horizontal="center" vertical="center" wrapText="1"/>
    </xf>
    <xf numFmtId="49" fontId="104" fillId="34" borderId="25" xfId="0" applyNumberFormat="1" applyFont="1" applyFill="1" applyBorder="1" applyAlignment="1">
      <alignment horizontal="center" vertical="center" wrapText="1"/>
    </xf>
    <xf numFmtId="49" fontId="104" fillId="34" borderId="79" xfId="0" applyNumberFormat="1" applyFont="1" applyFill="1" applyBorder="1" applyAlignment="1">
      <alignment horizontal="center" vertical="center" wrapText="1"/>
    </xf>
    <xf numFmtId="49" fontId="104" fillId="34" borderId="82" xfId="0" applyNumberFormat="1" applyFont="1" applyFill="1" applyBorder="1" applyAlignment="1">
      <alignment horizontal="center" vertical="center" wrapText="1"/>
    </xf>
    <xf numFmtId="49" fontId="104" fillId="44" borderId="16" xfId="0" applyNumberFormat="1" applyFont="1" applyFill="1" applyBorder="1" applyAlignment="1">
      <alignment horizontal="center" vertical="center" wrapText="1"/>
    </xf>
    <xf numFmtId="0" fontId="104" fillId="44" borderId="16" xfId="0" applyFont="1" applyFill="1" applyBorder="1" applyAlignment="1">
      <alignment horizontal="center" vertical="center" wrapText="1"/>
    </xf>
    <xf numFmtId="49" fontId="104" fillId="44" borderId="80" xfId="0" applyNumberFormat="1" applyFont="1" applyFill="1" applyBorder="1" applyAlignment="1">
      <alignment horizontal="center" vertical="center" wrapText="1"/>
    </xf>
    <xf numFmtId="0" fontId="104" fillId="44" borderId="79" xfId="0" applyFont="1" applyFill="1" applyBorder="1" applyAlignment="1">
      <alignment horizontal="center" vertical="center" wrapText="1"/>
    </xf>
    <xf numFmtId="49" fontId="104" fillId="37" borderId="47" xfId="0" applyNumberFormat="1" applyFont="1" applyFill="1" applyBorder="1" applyAlignment="1">
      <alignment horizontal="center" vertical="center" wrapText="1"/>
    </xf>
    <xf numFmtId="49" fontId="104" fillId="37" borderId="80" xfId="0" applyNumberFormat="1" applyFont="1" applyFill="1" applyBorder="1" applyAlignment="1">
      <alignment horizontal="center" vertical="center" wrapText="1"/>
    </xf>
    <xf numFmtId="49" fontId="104" fillId="37" borderId="81" xfId="0" applyNumberFormat="1" applyFont="1" applyFill="1" applyBorder="1" applyAlignment="1">
      <alignment horizontal="center" vertical="center" wrapText="1"/>
    </xf>
    <xf numFmtId="0" fontId="104" fillId="37" borderId="25" xfId="0" applyFont="1" applyFill="1" applyBorder="1" applyAlignment="1">
      <alignment horizontal="center" vertical="center" wrapText="1"/>
    </xf>
    <xf numFmtId="0" fontId="104" fillId="37" borderId="79" xfId="0" applyFont="1" applyFill="1" applyBorder="1" applyAlignment="1">
      <alignment horizontal="center" vertical="center" wrapText="1"/>
    </xf>
    <xf numFmtId="0" fontId="104" fillId="37" borderId="82" xfId="0" applyFont="1" applyFill="1" applyBorder="1" applyAlignment="1">
      <alignment horizontal="center" vertical="center" wrapText="1"/>
    </xf>
    <xf numFmtId="49" fontId="105" fillId="23" borderId="0" xfId="0" applyNumberFormat="1" applyFont="1" applyFill="1" applyAlignment="1">
      <alignment horizontal="center" vertical="center"/>
    </xf>
    <xf numFmtId="0" fontId="104" fillId="38" borderId="25" xfId="0" applyFont="1" applyFill="1" applyBorder="1" applyAlignment="1">
      <alignment horizontal="center" vertical="center" wrapText="1"/>
    </xf>
    <xf numFmtId="0" fontId="104" fillId="38" borderId="79" xfId="0" applyFont="1" applyFill="1" applyBorder="1" applyAlignment="1">
      <alignment horizontal="center" vertical="center" wrapText="1"/>
    </xf>
    <xf numFmtId="0" fontId="104" fillId="38" borderId="82" xfId="0" applyFont="1" applyFill="1" applyBorder="1" applyAlignment="1">
      <alignment horizontal="center" vertical="center" wrapText="1"/>
    </xf>
    <xf numFmtId="49" fontId="104" fillId="38" borderId="47" xfId="0" applyNumberFormat="1" applyFont="1" applyFill="1" applyBorder="1" applyAlignment="1">
      <alignment horizontal="center" vertical="center" wrapText="1"/>
    </xf>
    <xf numFmtId="49" fontId="104" fillId="38" borderId="80" xfId="0" applyNumberFormat="1" applyFont="1" applyFill="1" applyBorder="1" applyAlignment="1">
      <alignment horizontal="center" vertical="center" wrapText="1"/>
    </xf>
    <xf numFmtId="49" fontId="104" fillId="38" borderId="81" xfId="0" applyNumberFormat="1" applyFont="1" applyFill="1" applyBorder="1" applyAlignment="1">
      <alignment horizontal="center" vertical="center" wrapText="1"/>
    </xf>
    <xf numFmtId="0" fontId="104" fillId="34" borderId="82" xfId="0" applyFont="1" applyFill="1" applyBorder="1" applyAlignment="1">
      <alignment horizontal="center" vertical="center" wrapText="1"/>
    </xf>
    <xf numFmtId="0" fontId="104" fillId="43" borderId="25" xfId="0" applyFont="1" applyFill="1" applyBorder="1" applyAlignment="1">
      <alignment horizontal="center" vertical="center" wrapText="1"/>
    </xf>
    <xf numFmtId="0" fontId="104" fillId="43" borderId="79" xfId="0" applyFont="1" applyFill="1" applyBorder="1" applyAlignment="1">
      <alignment horizontal="center" vertical="center" wrapText="1"/>
    </xf>
    <xf numFmtId="0" fontId="104" fillId="43" borderId="82" xfId="0" applyFont="1" applyFill="1" applyBorder="1" applyAlignment="1">
      <alignment horizontal="center" vertical="center" wrapText="1"/>
    </xf>
    <xf numFmtId="49" fontId="93" fillId="43" borderId="47" xfId="0" applyNumberFormat="1" applyFont="1" applyFill="1" applyBorder="1" applyAlignment="1">
      <alignment horizontal="center" vertical="center" wrapText="1"/>
    </xf>
    <xf numFmtId="49" fontId="93" fillId="43" borderId="80" xfId="0" applyNumberFormat="1" applyFont="1" applyFill="1" applyBorder="1" applyAlignment="1">
      <alignment horizontal="center" vertical="center" wrapText="1"/>
    </xf>
    <xf numFmtId="49" fontId="93" fillId="43" borderId="81" xfId="0" applyNumberFormat="1" applyFont="1" applyFill="1" applyBorder="1" applyAlignment="1">
      <alignment horizontal="center" vertical="center" wrapText="1"/>
    </xf>
    <xf numFmtId="49" fontId="93" fillId="44" borderId="47" xfId="0" applyNumberFormat="1" applyFont="1" applyFill="1" applyBorder="1" applyAlignment="1">
      <alignment horizontal="center" vertical="center" wrapText="1"/>
    </xf>
    <xf numFmtId="49" fontId="93" fillId="44" borderId="80" xfId="0" applyNumberFormat="1" applyFont="1" applyFill="1" applyBorder="1" applyAlignment="1">
      <alignment horizontal="center" vertical="center" wrapText="1"/>
    </xf>
    <xf numFmtId="49" fontId="93" fillId="44" borderId="81" xfId="0" applyNumberFormat="1" applyFont="1" applyFill="1" applyBorder="1" applyAlignment="1">
      <alignment horizontal="center" vertical="center" wrapText="1"/>
    </xf>
    <xf numFmtId="0" fontId="104" fillId="44" borderId="25" xfId="0" applyFont="1" applyFill="1" applyBorder="1" applyAlignment="1">
      <alignment horizontal="center" vertical="center" wrapText="1"/>
    </xf>
    <xf numFmtId="0" fontId="104" fillId="44" borderId="82" xfId="0" applyFont="1" applyFill="1" applyBorder="1" applyAlignment="1">
      <alignment horizontal="center" vertical="center" wrapText="1"/>
    </xf>
    <xf numFmtId="9" fontId="119" fillId="0" borderId="83" xfId="0" applyNumberFormat="1" applyFont="1" applyBorder="1" applyAlignment="1" applyProtection="1">
      <alignment horizontal="center" vertical="center"/>
      <protection hidden="1"/>
    </xf>
    <xf numFmtId="9" fontId="119" fillId="0" borderId="84" xfId="0" applyNumberFormat="1" applyFont="1" applyBorder="1" applyAlignment="1" applyProtection="1">
      <alignment horizontal="center" vertical="center"/>
      <protection hidden="1"/>
    </xf>
    <xf numFmtId="9" fontId="29" fillId="41" borderId="35" xfId="55" applyFont="1" applyFill="1" applyBorder="1" applyAlignment="1" applyProtection="1">
      <alignment horizontal="center" vertical="center"/>
      <protection hidden="1"/>
    </xf>
    <xf numFmtId="9" fontId="29" fillId="41" borderId="36" xfId="55" applyFont="1" applyFill="1" applyBorder="1" applyAlignment="1" applyProtection="1">
      <alignment horizontal="center" vertical="center"/>
      <protection hidden="1"/>
    </xf>
    <xf numFmtId="9" fontId="29" fillId="41" borderId="37" xfId="55" applyFont="1" applyFill="1" applyBorder="1" applyAlignment="1" applyProtection="1">
      <alignment horizontal="center" vertical="center"/>
      <protection hidden="1"/>
    </xf>
    <xf numFmtId="0" fontId="120" fillId="34" borderId="47" xfId="0" applyFont="1" applyFill="1" applyBorder="1" applyAlignment="1">
      <alignment horizontal="center" vertical="center" textRotation="90"/>
    </xf>
    <xf numFmtId="0" fontId="120" fillId="34" borderId="80" xfId="0" applyFont="1" applyFill="1" applyBorder="1" applyAlignment="1">
      <alignment horizontal="center" vertical="center" textRotation="90"/>
    </xf>
    <xf numFmtId="0" fontId="120" fillId="34" borderId="81" xfId="0" applyFont="1" applyFill="1" applyBorder="1" applyAlignment="1">
      <alignment horizontal="center" vertical="center" textRotation="90"/>
    </xf>
    <xf numFmtId="9" fontId="119" fillId="33" borderId="83" xfId="0" applyNumberFormat="1" applyFont="1" applyFill="1" applyBorder="1" applyAlignment="1" applyProtection="1">
      <alignment horizontal="center" vertical="center"/>
      <protection hidden="1"/>
    </xf>
    <xf numFmtId="9" fontId="119" fillId="33" borderId="84" xfId="0" applyNumberFormat="1" applyFont="1" applyFill="1" applyBorder="1" applyAlignment="1" applyProtection="1">
      <alignment horizontal="center" vertical="center"/>
      <protection hidden="1"/>
    </xf>
    <xf numFmtId="9" fontId="119" fillId="33" borderId="85" xfId="0" applyNumberFormat="1" applyFont="1" applyFill="1" applyBorder="1" applyAlignment="1" applyProtection="1">
      <alignment horizontal="center" vertical="center"/>
      <protection hidden="1"/>
    </xf>
    <xf numFmtId="0" fontId="120" fillId="38" borderId="80" xfId="0" applyFont="1" applyFill="1" applyBorder="1" applyAlignment="1">
      <alignment horizontal="center" vertical="center" textRotation="90"/>
    </xf>
    <xf numFmtId="0" fontId="120" fillId="37" borderId="47" xfId="0" applyFont="1" applyFill="1" applyBorder="1" applyAlignment="1">
      <alignment horizontal="center" vertical="center" textRotation="90"/>
    </xf>
    <xf numFmtId="0" fontId="120" fillId="37" borderId="80" xfId="0" applyFont="1" applyFill="1" applyBorder="1" applyAlignment="1">
      <alignment horizontal="center" vertical="center" textRotation="90"/>
    </xf>
    <xf numFmtId="0" fontId="120" fillId="37" borderId="81" xfId="0" applyFont="1" applyFill="1" applyBorder="1" applyAlignment="1">
      <alignment horizontal="center" vertical="center" textRotation="90"/>
    </xf>
    <xf numFmtId="9" fontId="119" fillId="0" borderId="85" xfId="0" applyNumberFormat="1" applyFont="1" applyBorder="1" applyAlignment="1" applyProtection="1">
      <alignment horizontal="center" vertical="center"/>
      <protection hidden="1"/>
    </xf>
    <xf numFmtId="0" fontId="120" fillId="44" borderId="47" xfId="0" applyFont="1" applyFill="1" applyBorder="1" applyAlignment="1">
      <alignment horizontal="center" vertical="center" textRotation="90"/>
    </xf>
    <xf numFmtId="0" fontId="120" fillId="44" borderId="80" xfId="0" applyFont="1" applyFill="1" applyBorder="1" applyAlignment="1">
      <alignment horizontal="center" vertical="center" textRotation="90"/>
    </xf>
    <xf numFmtId="0" fontId="112" fillId="45" borderId="86" xfId="52" applyFont="1" applyFill="1" applyBorder="1" applyAlignment="1">
      <alignment horizontal="center" vertical="center" wrapText="1"/>
      <protection/>
    </xf>
    <xf numFmtId="0" fontId="112" fillId="45" borderId="87" xfId="52" applyFont="1" applyFill="1" applyBorder="1" applyAlignment="1">
      <alignment horizontal="center" vertical="center" wrapText="1"/>
      <protection/>
    </xf>
    <xf numFmtId="0" fontId="121" fillId="43" borderId="47" xfId="0" applyFont="1" applyFill="1" applyBorder="1" applyAlignment="1">
      <alignment horizontal="center" vertical="center" textRotation="90" wrapText="1"/>
    </xf>
    <xf numFmtId="0" fontId="121" fillId="43" borderId="80" xfId="0" applyFont="1" applyFill="1" applyBorder="1" applyAlignment="1">
      <alignment horizontal="center" vertical="center" textRotation="90" wrapText="1"/>
    </xf>
    <xf numFmtId="0" fontId="121" fillId="43" borderId="81" xfId="0" applyFont="1" applyFill="1" applyBorder="1" applyAlignment="1">
      <alignment horizontal="center" vertical="center" textRotation="90" wrapText="1"/>
    </xf>
    <xf numFmtId="0" fontId="112" fillId="37" borderId="88" xfId="52" applyFont="1" applyFill="1" applyBorder="1" applyAlignment="1">
      <alignment horizontal="center" vertical="center" wrapText="1"/>
      <protection/>
    </xf>
    <xf numFmtId="0" fontId="112" fillId="37" borderId="89" xfId="52" applyFont="1" applyFill="1" applyBorder="1" applyAlignment="1">
      <alignment horizontal="center" vertical="center" wrapText="1"/>
      <protection/>
    </xf>
    <xf numFmtId="0" fontId="112" fillId="37" borderId="90" xfId="52" applyFont="1" applyFill="1" applyBorder="1" applyAlignment="1">
      <alignment horizontal="center" vertical="center" wrapText="1"/>
      <protection/>
    </xf>
    <xf numFmtId="0" fontId="112" fillId="37" borderId="91" xfId="52" applyFont="1" applyFill="1" applyBorder="1" applyAlignment="1">
      <alignment horizontal="center" vertical="center" wrapText="1"/>
      <protection/>
    </xf>
    <xf numFmtId="0" fontId="112" fillId="37" borderId="92" xfId="52" applyFont="1" applyFill="1" applyBorder="1" applyAlignment="1">
      <alignment horizontal="center" vertical="center" wrapText="1"/>
      <protection/>
    </xf>
    <xf numFmtId="0" fontId="112" fillId="37" borderId="93" xfId="52" applyFont="1" applyFill="1" applyBorder="1" applyAlignment="1">
      <alignment horizontal="center" vertical="center" wrapText="1"/>
      <protection/>
    </xf>
    <xf numFmtId="0" fontId="112" fillId="37" borderId="94" xfId="52" applyFont="1" applyFill="1" applyBorder="1" applyAlignment="1">
      <alignment horizontal="center" vertical="center" wrapText="1"/>
      <protection/>
    </xf>
    <xf numFmtId="0" fontId="112" fillId="37" borderId="95" xfId="52" applyFont="1" applyFill="1" applyBorder="1" applyAlignment="1">
      <alignment horizontal="center" vertical="center" wrapText="1"/>
      <protection/>
    </xf>
    <xf numFmtId="0" fontId="122" fillId="37" borderId="96" xfId="0" applyFont="1" applyFill="1" applyBorder="1" applyAlignment="1">
      <alignment horizontal="center" vertical="center"/>
    </xf>
    <xf numFmtId="0" fontId="122" fillId="37" borderId="97" xfId="0" applyFont="1" applyFill="1" applyBorder="1" applyAlignment="1">
      <alignment horizontal="center" vertical="center"/>
    </xf>
    <xf numFmtId="0" fontId="122" fillId="37" borderId="98" xfId="0" applyFont="1" applyFill="1" applyBorder="1" applyAlignment="1">
      <alignment horizontal="center" vertical="center"/>
    </xf>
    <xf numFmtId="49" fontId="50" fillId="33" borderId="42" xfId="0" applyNumberFormat="1" applyFont="1" applyFill="1" applyBorder="1" applyAlignment="1">
      <alignment horizontal="left" vertical="center" wrapText="1"/>
    </xf>
    <xf numFmtId="49" fontId="50" fillId="33" borderId="16" xfId="0" applyNumberFormat="1" applyFont="1" applyFill="1" applyBorder="1" applyAlignment="1">
      <alignment horizontal="left" vertical="center" wrapText="1"/>
    </xf>
    <xf numFmtId="49" fontId="50" fillId="33" borderId="43" xfId="0" applyNumberFormat="1" applyFont="1" applyFill="1" applyBorder="1" applyAlignment="1">
      <alignment horizontal="left" vertical="center" wrapText="1"/>
    </xf>
    <xf numFmtId="49" fontId="50" fillId="33" borderId="29" xfId="0" applyNumberFormat="1" applyFont="1" applyFill="1" applyBorder="1" applyAlignment="1">
      <alignment horizontal="left" vertical="center" wrapText="1"/>
    </xf>
    <xf numFmtId="0" fontId="108" fillId="37" borderId="26" xfId="0" applyFont="1" applyFill="1" applyBorder="1" applyAlignment="1">
      <alignment horizontal="center" vertical="center" wrapText="1"/>
    </xf>
    <xf numFmtId="0" fontId="108" fillId="37" borderId="39" xfId="0" applyFont="1" applyFill="1" applyBorder="1" applyAlignment="1">
      <alignment horizontal="center" vertical="center" wrapText="1"/>
    </xf>
    <xf numFmtId="0" fontId="123" fillId="33" borderId="16" xfId="0" applyFont="1" applyFill="1" applyBorder="1" applyAlignment="1" applyProtection="1">
      <alignment horizontal="center" vertical="center"/>
      <protection locked="0"/>
    </xf>
    <xf numFmtId="164" fontId="123" fillId="33" borderId="40" xfId="0" applyNumberFormat="1" applyFont="1" applyFill="1" applyBorder="1" applyAlignment="1" applyProtection="1">
      <alignment horizontal="center" vertical="center"/>
      <protection locked="0"/>
    </xf>
    <xf numFmtId="164" fontId="123" fillId="33" borderId="99" xfId="0" applyNumberFormat="1" applyFont="1" applyFill="1" applyBorder="1" applyAlignment="1" applyProtection="1">
      <alignment horizontal="center" vertical="center"/>
      <protection locked="0"/>
    </xf>
    <xf numFmtId="164" fontId="123" fillId="33" borderId="32" xfId="0" applyNumberFormat="1" applyFont="1" applyFill="1" applyBorder="1" applyAlignment="1" applyProtection="1">
      <alignment horizontal="center" vertical="center"/>
      <protection locked="0"/>
    </xf>
    <xf numFmtId="0" fontId="110" fillId="37" borderId="96" xfId="0" applyFont="1" applyFill="1" applyBorder="1" applyAlignment="1">
      <alignment horizontal="center" vertical="center" wrapText="1"/>
    </xf>
    <xf numFmtId="0" fontId="110" fillId="37" borderId="97" xfId="0" applyFont="1" applyFill="1" applyBorder="1" applyAlignment="1">
      <alignment horizontal="center" vertical="center" wrapText="1"/>
    </xf>
    <xf numFmtId="0" fontId="110" fillId="37" borderId="98" xfId="0" applyFont="1" applyFill="1" applyBorder="1" applyAlignment="1">
      <alignment horizontal="center" vertical="center" wrapText="1"/>
    </xf>
    <xf numFmtId="0" fontId="96" fillId="37" borderId="100" xfId="0" applyFont="1" applyFill="1" applyBorder="1" applyAlignment="1">
      <alignment horizontal="center" vertical="center"/>
    </xf>
    <xf numFmtId="0" fontId="96" fillId="37" borderId="101" xfId="0" applyFont="1" applyFill="1" applyBorder="1" applyAlignment="1">
      <alignment horizontal="center" vertical="center"/>
    </xf>
    <xf numFmtId="0" fontId="96" fillId="37" borderId="102" xfId="0" applyFont="1" applyFill="1" applyBorder="1" applyAlignment="1">
      <alignment horizontal="center" vertical="center"/>
    </xf>
    <xf numFmtId="49" fontId="50" fillId="33" borderId="41" xfId="0" applyNumberFormat="1" applyFont="1" applyFill="1" applyBorder="1" applyAlignment="1">
      <alignment horizontal="left" vertical="center" wrapText="1"/>
    </xf>
    <xf numFmtId="49" fontId="50" fillId="33" borderId="28" xfId="0" applyNumberFormat="1" applyFont="1" applyFill="1" applyBorder="1" applyAlignment="1">
      <alignment horizontal="left" vertical="center" wrapText="1"/>
    </xf>
    <xf numFmtId="49" fontId="124" fillId="33" borderId="28" xfId="0" applyNumberFormat="1" applyFont="1" applyFill="1" applyBorder="1" applyAlignment="1" applyProtection="1">
      <alignment horizontal="left" vertical="top" wrapText="1"/>
      <protection locked="0"/>
    </xf>
    <xf numFmtId="49" fontId="124" fillId="33" borderId="28" xfId="0" applyNumberFormat="1" applyFont="1" applyFill="1" applyBorder="1" applyAlignment="1" applyProtection="1">
      <alignment horizontal="left" vertical="top" wrapText="1"/>
      <protection locked="0"/>
    </xf>
    <xf numFmtId="49" fontId="124" fillId="33" borderId="35" xfId="0" applyNumberFormat="1" applyFont="1" applyFill="1" applyBorder="1" applyAlignment="1" applyProtection="1">
      <alignment horizontal="left" vertical="top" wrapText="1"/>
      <protection locked="0"/>
    </xf>
    <xf numFmtId="49" fontId="124" fillId="33" borderId="16" xfId="0" applyNumberFormat="1" applyFont="1" applyFill="1" applyBorder="1" applyAlignment="1" applyProtection="1">
      <alignment horizontal="left" vertical="top" wrapText="1"/>
      <protection locked="0"/>
    </xf>
    <xf numFmtId="49" fontId="124" fillId="33" borderId="16" xfId="0" applyNumberFormat="1" applyFont="1" applyFill="1" applyBorder="1" applyAlignment="1" applyProtection="1">
      <alignment horizontal="left" vertical="top" wrapText="1"/>
      <protection locked="0"/>
    </xf>
    <xf numFmtId="49" fontId="124" fillId="33" borderId="36" xfId="0" applyNumberFormat="1" applyFont="1" applyFill="1" applyBorder="1" applyAlignment="1" applyProtection="1">
      <alignment horizontal="left" vertical="top" wrapText="1"/>
      <protection locked="0"/>
    </xf>
    <xf numFmtId="49" fontId="124" fillId="33" borderId="29" xfId="0" applyNumberFormat="1" applyFont="1" applyFill="1" applyBorder="1" applyAlignment="1" applyProtection="1">
      <alignment horizontal="left" vertical="top" wrapText="1"/>
      <protection locked="0"/>
    </xf>
    <xf numFmtId="49" fontId="124" fillId="33" borderId="29" xfId="0" applyNumberFormat="1" applyFont="1" applyFill="1" applyBorder="1" applyAlignment="1" applyProtection="1">
      <alignment horizontal="left" vertical="top" wrapText="1"/>
      <protection locked="0"/>
    </xf>
    <xf numFmtId="49" fontId="124" fillId="33" borderId="37" xfId="0" applyNumberFormat="1" applyFont="1" applyFill="1" applyBorder="1" applyAlignment="1" applyProtection="1">
      <alignment horizontal="left" vertical="top" wrapText="1"/>
      <protection locked="0"/>
    </xf>
    <xf numFmtId="0" fontId="58" fillId="0" borderId="96" xfId="0" applyFont="1" applyBorder="1" applyAlignment="1" applyProtection="1">
      <alignment horizontal="left" vertical="center" wrapText="1"/>
      <protection locked="0"/>
    </xf>
    <xf numFmtId="0" fontId="58" fillId="0" borderId="97" xfId="0" applyFont="1" applyBorder="1" applyAlignment="1" applyProtection="1">
      <alignment horizontal="left" vertical="center" wrapText="1"/>
      <protection locked="0"/>
    </xf>
    <xf numFmtId="0" fontId="58" fillId="0" borderId="98" xfId="0" applyFont="1" applyBorder="1" applyAlignment="1" applyProtection="1">
      <alignment horizontal="left" vertical="center" wrapText="1"/>
      <protection locked="0"/>
    </xf>
    <xf numFmtId="0" fontId="110" fillId="39" borderId="0" xfId="0" applyFont="1" applyFill="1" applyAlignment="1">
      <alignment horizontal="center" vertical="center" wrapText="1"/>
    </xf>
    <xf numFmtId="0" fontId="0" fillId="0" borderId="23" xfId="0" applyBorder="1" applyAlignment="1">
      <alignment horizontal="center"/>
    </xf>
    <xf numFmtId="0" fontId="0" fillId="0" borderId="97"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 Style1 2"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3">
    <dxf>
      <fill>
        <patternFill>
          <bgColor rgb="FFFF0000"/>
        </patternFill>
      </fill>
    </dxf>
    <dxf>
      <fill>
        <patternFill>
          <bgColor rgb="FF92D050"/>
        </patternFill>
      </fill>
    </dxf>
    <dxf>
      <fill>
        <patternFill>
          <bgColor rgb="FFFFFF00"/>
        </patternFill>
      </fill>
    </dxf>
    <dxf>
      <fill>
        <patternFill>
          <bgColor rgb="FFFF0000"/>
        </patternFill>
      </fill>
    </dxf>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66675</xdr:rowOff>
    </xdr:from>
    <xdr:to>
      <xdr:col>7</xdr:col>
      <xdr:colOff>723900</xdr:colOff>
      <xdr:row>11</xdr:row>
      <xdr:rowOff>47625</xdr:rowOff>
    </xdr:to>
    <xdr:pic>
      <xdr:nvPicPr>
        <xdr:cNvPr id="1" name="Imagen 1"/>
        <xdr:cNvPicPr preferRelativeResize="1">
          <a:picLocks noChangeAspect="1"/>
        </xdr:cNvPicPr>
      </xdr:nvPicPr>
      <xdr:blipFill>
        <a:blip r:embed="rId1"/>
        <a:stretch>
          <a:fillRect/>
        </a:stretch>
      </xdr:blipFill>
      <xdr:spPr>
        <a:xfrm>
          <a:off x="7143750" y="66675"/>
          <a:ext cx="3667125"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7</xdr:row>
      <xdr:rowOff>104775</xdr:rowOff>
    </xdr:from>
    <xdr:to>
      <xdr:col>6</xdr:col>
      <xdr:colOff>600075</xdr:colOff>
      <xdr:row>14</xdr:row>
      <xdr:rowOff>57150</xdr:rowOff>
    </xdr:to>
    <xdr:pic>
      <xdr:nvPicPr>
        <xdr:cNvPr id="1" name="Imagen 3"/>
        <xdr:cNvPicPr preferRelativeResize="1">
          <a:picLocks noChangeAspect="1"/>
        </xdr:cNvPicPr>
      </xdr:nvPicPr>
      <xdr:blipFill>
        <a:blip r:embed="rId1"/>
        <a:stretch>
          <a:fillRect/>
        </a:stretch>
      </xdr:blipFill>
      <xdr:spPr>
        <a:xfrm>
          <a:off x="4572000" y="2533650"/>
          <a:ext cx="3962400" cy="2343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mejia/Library/Containers/com.microsoft.Excel/Data/Documents/C:\Users\dell\Desktop\cesar\HISTORICOS\2020-04-22_Formato_informe_sci_parametrizado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sis de Resultad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24"/>
  <sheetViews>
    <sheetView zoomScale="90" zoomScaleNormal="90" zoomScalePageLayoutView="0" workbookViewId="0" topLeftCell="A5">
      <selection activeCell="C14" sqref="C14"/>
    </sheetView>
  </sheetViews>
  <sheetFormatPr defaultColWidth="0" defaultRowHeight="15" zeroHeight="1"/>
  <cols>
    <col min="1" max="1" width="3.8515625" style="42" customWidth="1"/>
    <col min="2" max="2" width="15.28125" style="42" customWidth="1"/>
    <col min="3" max="3" width="17.28125" style="42" customWidth="1"/>
    <col min="4" max="4" width="28.421875" style="42" customWidth="1"/>
    <col min="5" max="5" width="12.8515625" style="42" customWidth="1"/>
    <col min="6" max="6" width="47.140625" style="42" customWidth="1"/>
    <col min="7" max="7" width="21.421875" style="42" customWidth="1"/>
    <col min="8" max="8" width="6.421875" style="42" customWidth="1"/>
    <col min="9" max="9" width="2.421875" style="42" customWidth="1"/>
    <col min="10" max="16384" width="11.421875" style="42" hidden="1" customWidth="1"/>
  </cols>
  <sheetData>
    <row r="1" ht="13.5" thickBot="1"/>
    <row r="2" spans="2:8" ht="73.5" customHeight="1">
      <c r="B2" s="154" t="s">
        <v>0</v>
      </c>
      <c r="C2" s="155"/>
      <c r="D2" s="155"/>
      <c r="E2" s="155"/>
      <c r="F2" s="155"/>
      <c r="G2" s="155"/>
      <c r="H2" s="156"/>
    </row>
    <row r="3" spans="2:8" ht="65.25" customHeight="1">
      <c r="B3" s="157" t="s">
        <v>1</v>
      </c>
      <c r="C3" s="158"/>
      <c r="D3" s="158"/>
      <c r="E3" s="158"/>
      <c r="F3" s="158"/>
      <c r="G3" s="158"/>
      <c r="H3" s="159"/>
    </row>
    <row r="4" spans="2:8" ht="82.5" customHeight="1">
      <c r="B4" s="157"/>
      <c r="C4" s="158"/>
      <c r="D4" s="158"/>
      <c r="E4" s="158"/>
      <c r="F4" s="158"/>
      <c r="G4" s="158"/>
      <c r="H4" s="159"/>
    </row>
    <row r="5" spans="2:8" ht="21.75" customHeight="1">
      <c r="B5" s="160" t="s">
        <v>2</v>
      </c>
      <c r="C5" s="161"/>
      <c r="D5" s="161"/>
      <c r="E5" s="161"/>
      <c r="F5" s="161"/>
      <c r="G5" s="161"/>
      <c r="H5" s="162"/>
    </row>
    <row r="6" spans="2:8" ht="42" customHeight="1">
      <c r="B6" s="163" t="s">
        <v>3</v>
      </c>
      <c r="C6" s="164"/>
      <c r="D6" s="164"/>
      <c r="E6" s="164"/>
      <c r="F6" s="164"/>
      <c r="G6" s="164"/>
      <c r="H6" s="165"/>
    </row>
    <row r="7" spans="2:8" ht="14.25" customHeight="1">
      <c r="B7" s="163"/>
      <c r="C7" s="164"/>
      <c r="D7" s="164"/>
      <c r="E7" s="164"/>
      <c r="F7" s="164"/>
      <c r="G7" s="164"/>
      <c r="H7" s="165"/>
    </row>
    <row r="8" spans="2:8" ht="12.75" customHeight="1" thickBot="1">
      <c r="B8" s="54"/>
      <c r="C8" s="48"/>
      <c r="D8" s="63"/>
      <c r="E8" s="64"/>
      <c r="F8" s="64"/>
      <c r="G8" s="62"/>
      <c r="H8" s="56"/>
    </row>
    <row r="9" spans="2:8" ht="21" customHeight="1" thickTop="1">
      <c r="B9" s="54"/>
      <c r="C9" s="166" t="s">
        <v>4</v>
      </c>
      <c r="D9" s="167"/>
      <c r="E9" s="168" t="s">
        <v>5</v>
      </c>
      <c r="F9" s="169"/>
      <c r="G9" s="48"/>
      <c r="H9" s="56"/>
    </row>
    <row r="10" spans="2:8" ht="37.5" customHeight="1">
      <c r="B10" s="54"/>
      <c r="C10" s="170" t="s">
        <v>6</v>
      </c>
      <c r="D10" s="171"/>
      <c r="E10" s="172" t="s">
        <v>7</v>
      </c>
      <c r="F10" s="173"/>
      <c r="G10" s="48"/>
      <c r="H10" s="56"/>
    </row>
    <row r="11" spans="2:8" ht="39.75" customHeight="1">
      <c r="B11" s="54"/>
      <c r="C11" s="174" t="s">
        <v>8</v>
      </c>
      <c r="D11" s="175"/>
      <c r="E11" s="176" t="s">
        <v>9</v>
      </c>
      <c r="F11" s="177"/>
      <c r="G11" s="48"/>
      <c r="H11" s="56"/>
    </row>
    <row r="12" spans="2:8" ht="59.25" customHeight="1">
      <c r="B12" s="54"/>
      <c r="C12" s="174" t="s">
        <v>10</v>
      </c>
      <c r="D12" s="175"/>
      <c r="E12" s="178" t="s">
        <v>11</v>
      </c>
      <c r="F12" s="179"/>
      <c r="G12" s="48"/>
      <c r="H12" s="56"/>
    </row>
    <row r="13" spans="2:8" ht="33.75" customHeight="1">
      <c r="B13" s="54"/>
      <c r="C13" s="184" t="s">
        <v>12</v>
      </c>
      <c r="D13" s="185"/>
      <c r="E13" s="176" t="s">
        <v>13</v>
      </c>
      <c r="F13" s="177"/>
      <c r="G13" s="48"/>
      <c r="H13" s="56"/>
    </row>
    <row r="14" spans="2:8" ht="19.5" customHeight="1">
      <c r="B14" s="54"/>
      <c r="C14" s="60"/>
      <c r="D14" s="60"/>
      <c r="E14" s="61"/>
      <c r="F14" s="61"/>
      <c r="G14" s="48"/>
      <c r="H14" s="56"/>
    </row>
    <row r="15" spans="2:8" ht="37.5" customHeight="1" thickBot="1">
      <c r="B15" s="180" t="s">
        <v>14</v>
      </c>
      <c r="C15" s="181"/>
      <c r="D15" s="181"/>
      <c r="E15" s="181"/>
      <c r="F15" s="181"/>
      <c r="G15" s="181"/>
      <c r="H15" s="182"/>
    </row>
    <row r="16" spans="2:8" ht="27.75" customHeight="1" thickBot="1">
      <c r="B16" s="54"/>
      <c r="C16" s="186" t="s">
        <v>15</v>
      </c>
      <c r="D16" s="187"/>
      <c r="E16" s="187" t="s">
        <v>16</v>
      </c>
      <c r="F16" s="198"/>
      <c r="G16" s="48"/>
      <c r="H16" s="56"/>
    </row>
    <row r="17" spans="2:8" ht="27.75" customHeight="1">
      <c r="B17" s="54"/>
      <c r="C17" s="199" t="s">
        <v>17</v>
      </c>
      <c r="D17" s="200"/>
      <c r="E17" s="201" t="s">
        <v>18</v>
      </c>
      <c r="F17" s="202"/>
      <c r="G17" s="92"/>
      <c r="H17" s="56"/>
    </row>
    <row r="18" spans="2:8" ht="41.25" customHeight="1">
      <c r="B18" s="54"/>
      <c r="C18" s="188" t="s">
        <v>19</v>
      </c>
      <c r="D18" s="189"/>
      <c r="E18" s="190" t="s">
        <v>20</v>
      </c>
      <c r="F18" s="191"/>
      <c r="G18" s="93"/>
      <c r="H18" s="56"/>
    </row>
    <row r="19" spans="2:8" ht="37.5" customHeight="1" thickBot="1">
      <c r="B19" s="54"/>
      <c r="C19" s="192" t="s">
        <v>21</v>
      </c>
      <c r="D19" s="193"/>
      <c r="E19" s="194" t="s">
        <v>22</v>
      </c>
      <c r="F19" s="195"/>
      <c r="G19" s="93"/>
      <c r="H19" s="56"/>
    </row>
    <row r="20" spans="2:8" ht="11.25" customHeight="1">
      <c r="B20" s="49"/>
      <c r="C20" s="50"/>
      <c r="D20" s="50"/>
      <c r="E20" s="50"/>
      <c r="F20" s="50"/>
      <c r="G20" s="50"/>
      <c r="H20" s="51"/>
    </row>
    <row r="21" spans="2:8" ht="14.25" customHeight="1">
      <c r="B21" s="52"/>
      <c r="C21" s="196"/>
      <c r="D21" s="196"/>
      <c r="E21" s="197"/>
      <c r="F21" s="197"/>
      <c r="G21" s="197"/>
      <c r="H21" s="53"/>
    </row>
    <row r="22" spans="2:8" ht="36" customHeight="1">
      <c r="B22" s="180" t="s">
        <v>23</v>
      </c>
      <c r="C22" s="181"/>
      <c r="D22" s="181"/>
      <c r="E22" s="181"/>
      <c r="F22" s="181"/>
      <c r="G22" s="181"/>
      <c r="H22" s="182"/>
    </row>
    <row r="23" spans="2:8" ht="12.75">
      <c r="B23" s="54"/>
      <c r="C23" s="55"/>
      <c r="D23" s="55"/>
      <c r="E23" s="183"/>
      <c r="F23" s="183"/>
      <c r="G23" s="48"/>
      <c r="H23" s="56"/>
    </row>
    <row r="24" spans="2:8" ht="13.5" thickBot="1">
      <c r="B24" s="57"/>
      <c r="C24" s="58"/>
      <c r="D24" s="58"/>
      <c r="E24" s="58"/>
      <c r="F24" s="58"/>
      <c r="G24" s="58"/>
      <c r="H24" s="59"/>
    </row>
    <row r="25" ht="12.75"/>
    <row r="26" ht="29.25" customHeight="1"/>
    <row r="27" ht="26.25" customHeight="1"/>
    <row r="28" ht="43.5" customHeight="1"/>
    <row r="29" ht="53.25" customHeight="1"/>
    <row r="30" ht="12.75"/>
    <row r="31" ht="12.75"/>
    <row r="32" ht="12.75"/>
    <row r="33" ht="12.75"/>
    <row r="34" ht="12.75"/>
    <row r="35" ht="12.75"/>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row r="52" ht="12.75"/>
    <row r="54" ht="12.75"/>
  </sheetData>
  <sheetProtection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59"/>
  <sheetViews>
    <sheetView showGridLines="0" zoomScalePageLayoutView="0" workbookViewId="0" topLeftCell="D55">
      <selection activeCell="G51" sqref="G51"/>
    </sheetView>
  </sheetViews>
  <sheetFormatPr defaultColWidth="11.421875" defaultRowHeight="15"/>
  <cols>
    <col min="1" max="1" width="3.00390625" style="44" hidden="1" customWidth="1"/>
    <col min="2" max="2" width="9.421875" style="44" customWidth="1"/>
    <col min="3" max="3" width="25.421875" style="44" customWidth="1"/>
    <col min="4" max="4" width="46.421875" style="44" customWidth="1"/>
    <col min="5" max="5" width="10.140625" style="66" customWidth="1"/>
    <col min="6" max="6" width="44.421875" style="66" customWidth="1"/>
    <col min="7" max="7" width="15.421875" style="44" customWidth="1"/>
    <col min="8" max="8" width="79.8515625" style="150" customWidth="1"/>
    <col min="9" max="9" width="43.00390625" style="44" customWidth="1"/>
    <col min="10" max="12" width="11.421875" style="69" customWidth="1"/>
    <col min="13" max="24" width="11.421875" style="44" customWidth="1"/>
    <col min="25" max="16384" width="11.421875" style="44" customWidth="1"/>
  </cols>
  <sheetData>
    <row r="1" spans="2:24" ht="16.5">
      <c r="B1" s="43"/>
      <c r="C1" s="43"/>
      <c r="D1" s="43"/>
      <c r="E1" s="65"/>
      <c r="F1" s="65"/>
      <c r="G1" s="43"/>
      <c r="H1" s="145"/>
      <c r="I1" s="43"/>
      <c r="J1" s="67"/>
      <c r="K1" s="67"/>
      <c r="L1" s="67"/>
      <c r="M1" s="43"/>
      <c r="N1" s="43"/>
      <c r="O1" s="43"/>
      <c r="P1" s="43"/>
      <c r="Q1" s="43"/>
      <c r="R1" s="43"/>
      <c r="S1" s="43"/>
      <c r="T1" s="43"/>
      <c r="U1" s="43"/>
      <c r="V1" s="43"/>
      <c r="W1" s="43"/>
      <c r="X1" s="43"/>
    </row>
    <row r="2" spans="2:24" ht="16.5">
      <c r="B2" s="43"/>
      <c r="C2" s="43"/>
      <c r="D2" s="43"/>
      <c r="E2" s="65"/>
      <c r="F2" s="65"/>
      <c r="G2" s="43"/>
      <c r="H2" s="145"/>
      <c r="I2" s="43"/>
      <c r="J2" s="67"/>
      <c r="K2" s="67"/>
      <c r="L2" s="67"/>
      <c r="M2" s="43"/>
      <c r="N2" s="43"/>
      <c r="O2" s="43"/>
      <c r="P2" s="43"/>
      <c r="Q2" s="43"/>
      <c r="R2" s="43"/>
      <c r="S2" s="43"/>
      <c r="T2" s="43"/>
      <c r="U2" s="43"/>
      <c r="V2" s="43"/>
      <c r="W2" s="43"/>
      <c r="X2" s="43"/>
    </row>
    <row r="3" spans="2:24" ht="16.5">
      <c r="B3" s="43"/>
      <c r="C3" s="43"/>
      <c r="D3" s="43"/>
      <c r="E3" s="65"/>
      <c r="F3" s="65"/>
      <c r="G3" s="43"/>
      <c r="H3" s="145"/>
      <c r="I3" s="43"/>
      <c r="J3" s="67"/>
      <c r="K3" s="67"/>
      <c r="L3" s="67"/>
      <c r="M3" s="43"/>
      <c r="N3" s="43"/>
      <c r="O3" s="43"/>
      <c r="P3" s="43"/>
      <c r="Q3" s="43"/>
      <c r="R3" s="43"/>
      <c r="S3" s="43"/>
      <c r="T3" s="43"/>
      <c r="U3" s="43"/>
      <c r="V3" s="43"/>
      <c r="W3" s="43"/>
      <c r="X3" s="43"/>
    </row>
    <row r="4" spans="2:24" ht="16.5">
      <c r="B4" s="43"/>
      <c r="C4" s="43"/>
      <c r="D4" s="43"/>
      <c r="E4" s="65"/>
      <c r="F4" s="65"/>
      <c r="G4" s="43"/>
      <c r="H4" s="145"/>
      <c r="I4" s="43"/>
      <c r="J4" s="67"/>
      <c r="K4" s="67"/>
      <c r="L4" s="67"/>
      <c r="M4" s="43"/>
      <c r="N4" s="43"/>
      <c r="O4" s="43"/>
      <c r="P4" s="43"/>
      <c r="Q4" s="43"/>
      <c r="R4" s="43"/>
      <c r="S4" s="43"/>
      <c r="T4" s="43"/>
      <c r="U4" s="43"/>
      <c r="V4" s="43"/>
      <c r="W4" s="43"/>
      <c r="X4" s="43"/>
    </row>
    <row r="5" spans="2:24" ht="16.5">
      <c r="B5" s="43"/>
      <c r="C5" s="43"/>
      <c r="D5" s="43"/>
      <c r="E5" s="65"/>
      <c r="F5" s="65"/>
      <c r="G5" s="43"/>
      <c r="H5" s="145"/>
      <c r="I5" s="43"/>
      <c r="J5" s="67"/>
      <c r="K5" s="67"/>
      <c r="L5" s="67"/>
      <c r="M5" s="43"/>
      <c r="N5" s="43"/>
      <c r="O5" s="43"/>
      <c r="P5" s="43"/>
      <c r="Q5" s="43"/>
      <c r="R5" s="43"/>
      <c r="S5" s="43"/>
      <c r="T5" s="43"/>
      <c r="U5" s="43"/>
      <c r="V5" s="43"/>
      <c r="W5" s="43"/>
      <c r="X5" s="43"/>
    </row>
    <row r="6" spans="2:24" ht="16.5">
      <c r="B6" s="43"/>
      <c r="C6" s="43"/>
      <c r="D6" s="43"/>
      <c r="E6" s="65"/>
      <c r="F6" s="65"/>
      <c r="G6" s="43"/>
      <c r="H6" s="145"/>
      <c r="I6" s="43"/>
      <c r="J6" s="67"/>
      <c r="K6" s="67"/>
      <c r="L6" s="67"/>
      <c r="M6" s="43"/>
      <c r="N6" s="43"/>
      <c r="O6" s="43"/>
      <c r="P6" s="43"/>
      <c r="Q6" s="43"/>
      <c r="R6" s="43"/>
      <c r="S6" s="43"/>
      <c r="T6" s="43"/>
      <c r="U6" s="43"/>
      <c r="V6" s="43"/>
      <c r="W6" s="43"/>
      <c r="X6" s="43"/>
    </row>
    <row r="7" spans="2:24" ht="16.5">
      <c r="B7" s="43"/>
      <c r="C7" s="43"/>
      <c r="D7" s="43"/>
      <c r="E7" s="65"/>
      <c r="F7" s="65"/>
      <c r="G7" s="43"/>
      <c r="H7" s="145"/>
      <c r="I7" s="43"/>
      <c r="J7" s="67"/>
      <c r="K7" s="67"/>
      <c r="L7" s="67"/>
      <c r="M7" s="43"/>
      <c r="N7" s="43"/>
      <c r="O7" s="43"/>
      <c r="P7" s="43"/>
      <c r="Q7" s="43"/>
      <c r="R7" s="43"/>
      <c r="S7" s="43"/>
      <c r="T7" s="43"/>
      <c r="U7" s="43"/>
      <c r="V7" s="43"/>
      <c r="W7" s="43"/>
      <c r="X7" s="43"/>
    </row>
    <row r="8" spans="2:24" ht="16.5">
      <c r="B8" s="43"/>
      <c r="C8" s="43"/>
      <c r="D8" s="43"/>
      <c r="E8" s="65"/>
      <c r="F8" s="65"/>
      <c r="G8" s="43"/>
      <c r="H8" s="145"/>
      <c r="I8" s="43"/>
      <c r="J8" s="67"/>
      <c r="K8" s="67"/>
      <c r="L8" s="67"/>
      <c r="M8" s="43"/>
      <c r="N8" s="43"/>
      <c r="O8" s="43"/>
      <c r="P8" s="43"/>
      <c r="Q8" s="43"/>
      <c r="R8" s="43"/>
      <c r="S8" s="43"/>
      <c r="T8" s="43"/>
      <c r="U8" s="43"/>
      <c r="V8" s="43"/>
      <c r="W8" s="43"/>
      <c r="X8" s="43"/>
    </row>
    <row r="9" spans="2:24" ht="16.5">
      <c r="B9" s="43"/>
      <c r="C9" s="43"/>
      <c r="D9" s="43"/>
      <c r="E9" s="65"/>
      <c r="F9" s="65"/>
      <c r="G9" s="43"/>
      <c r="H9" s="145"/>
      <c r="I9" s="43"/>
      <c r="J9" s="67"/>
      <c r="K9" s="67"/>
      <c r="L9" s="67"/>
      <c r="M9" s="43"/>
      <c r="N9" s="43"/>
      <c r="O9" s="43"/>
      <c r="P9" s="43"/>
      <c r="Q9" s="43"/>
      <c r="R9" s="43"/>
      <c r="S9" s="43"/>
      <c r="T9" s="43"/>
      <c r="U9" s="43"/>
      <c r="V9" s="43"/>
      <c r="W9" s="43"/>
      <c r="X9" s="43"/>
    </row>
    <row r="10" spans="2:24" ht="16.5">
      <c r="B10" s="43"/>
      <c r="C10" s="43"/>
      <c r="D10" s="43"/>
      <c r="E10" s="65"/>
      <c r="F10" s="65"/>
      <c r="G10" s="43"/>
      <c r="H10" s="145"/>
      <c r="I10" s="43"/>
      <c r="J10" s="67"/>
      <c r="K10" s="67"/>
      <c r="L10" s="67"/>
      <c r="M10" s="43"/>
      <c r="N10" s="43"/>
      <c r="O10" s="43"/>
      <c r="P10" s="43"/>
      <c r="Q10" s="43"/>
      <c r="R10" s="43"/>
      <c r="S10" s="43"/>
      <c r="T10" s="43"/>
      <c r="U10" s="43"/>
      <c r="V10" s="43"/>
      <c r="W10" s="43"/>
      <c r="X10" s="43"/>
    </row>
    <row r="11" spans="2:24" ht="16.5">
      <c r="B11" s="43"/>
      <c r="C11" s="43"/>
      <c r="D11" s="43"/>
      <c r="E11" s="65"/>
      <c r="F11" s="65"/>
      <c r="G11" s="43"/>
      <c r="H11" s="145"/>
      <c r="I11" s="43"/>
      <c r="J11" s="67"/>
      <c r="K11" s="67"/>
      <c r="L11" s="67"/>
      <c r="M11" s="43"/>
      <c r="N11" s="43"/>
      <c r="O11" s="43"/>
      <c r="P11" s="43"/>
      <c r="Q11" s="43"/>
      <c r="R11" s="43"/>
      <c r="S11" s="43"/>
      <c r="T11" s="43"/>
      <c r="U11" s="43"/>
      <c r="V11" s="43"/>
      <c r="W11" s="43"/>
      <c r="X11" s="43"/>
    </row>
    <row r="12" spans="2:24" ht="16.5">
      <c r="B12" s="43"/>
      <c r="C12" s="43"/>
      <c r="D12" s="43"/>
      <c r="E12" s="65"/>
      <c r="F12" s="65"/>
      <c r="G12" s="43"/>
      <c r="H12" s="145"/>
      <c r="I12" s="43"/>
      <c r="J12" s="67"/>
      <c r="K12" s="67"/>
      <c r="L12" s="67"/>
      <c r="M12" s="43"/>
      <c r="N12" s="43"/>
      <c r="O12" s="43"/>
      <c r="P12" s="43"/>
      <c r="Q12" s="43"/>
      <c r="R12" s="43"/>
      <c r="S12" s="43"/>
      <c r="T12" s="43"/>
      <c r="U12" s="43"/>
      <c r="V12" s="43"/>
      <c r="W12" s="43"/>
      <c r="X12" s="43"/>
    </row>
    <row r="13" spans="2:24" ht="15.75">
      <c r="B13" s="43"/>
      <c r="C13" s="43"/>
      <c r="D13" s="43"/>
      <c r="E13" s="65"/>
      <c r="F13" s="65"/>
      <c r="G13" s="43"/>
      <c r="H13" s="145"/>
      <c r="I13" s="43"/>
      <c r="J13" s="67"/>
      <c r="K13" s="67"/>
      <c r="L13" s="67"/>
      <c r="M13" s="43"/>
      <c r="N13" s="43"/>
      <c r="O13" s="43"/>
      <c r="P13" s="43"/>
      <c r="Q13" s="43"/>
      <c r="R13" s="43"/>
      <c r="S13" s="43"/>
      <c r="T13" s="43"/>
      <c r="U13" s="43"/>
      <c r="V13" s="43"/>
      <c r="W13" s="43"/>
      <c r="X13" s="43"/>
    </row>
    <row r="14" spans="2:32" s="46" customFormat="1" ht="49.5" customHeight="1">
      <c r="B14" s="234" t="s">
        <v>24</v>
      </c>
      <c r="C14" s="234"/>
      <c r="D14" s="234"/>
      <c r="E14" s="234"/>
      <c r="F14" s="234"/>
      <c r="G14" s="234"/>
      <c r="H14" s="234"/>
      <c r="I14" s="234"/>
      <c r="J14" s="68"/>
      <c r="K14" s="68"/>
      <c r="L14" s="68"/>
      <c r="M14" s="45"/>
      <c r="N14" s="45"/>
      <c r="O14" s="45"/>
      <c r="P14" s="45"/>
      <c r="Q14" s="45"/>
      <c r="R14" s="45"/>
      <c r="S14" s="45"/>
      <c r="T14" s="45"/>
      <c r="U14" s="45"/>
      <c r="V14" s="45"/>
      <c r="W14" s="45"/>
      <c r="X14" s="45"/>
      <c r="Y14" s="45"/>
      <c r="Z14" s="45"/>
      <c r="AA14" s="45"/>
      <c r="AB14" s="45"/>
      <c r="AC14" s="45"/>
      <c r="AD14" s="45"/>
      <c r="AE14" s="45"/>
      <c r="AF14" s="45"/>
    </row>
    <row r="15" spans="2:32" s="46" customFormat="1" ht="123.75" customHeight="1" thickBot="1">
      <c r="B15" s="71" t="s">
        <v>25</v>
      </c>
      <c r="C15" s="71" t="s">
        <v>6</v>
      </c>
      <c r="D15" s="72" t="s">
        <v>8</v>
      </c>
      <c r="E15" s="73" t="s">
        <v>26</v>
      </c>
      <c r="F15" s="73" t="s">
        <v>27</v>
      </c>
      <c r="G15" s="73" t="s">
        <v>28</v>
      </c>
      <c r="H15" s="146"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12" s="46" customFormat="1" ht="71.25" customHeight="1">
      <c r="A16" s="94" t="str">
        <f>1&amp;E16</f>
        <v>1a</v>
      </c>
      <c r="B16" s="245" t="s">
        <v>31</v>
      </c>
      <c r="C16" s="209" t="s">
        <v>32</v>
      </c>
      <c r="D16" s="242" t="s">
        <v>33</v>
      </c>
      <c r="E16" s="74" t="s">
        <v>34</v>
      </c>
      <c r="F16" s="75" t="s">
        <v>35</v>
      </c>
      <c r="G16" s="102" t="s">
        <v>36</v>
      </c>
      <c r="H16" s="147" t="s">
        <v>37</v>
      </c>
      <c r="I16" s="95" t="str">
        <f>+IF(G16="Si","Mantenimiento del control",IF(G16="En proceso","Oportunidad de mejora","Deficiencia de control"))</f>
        <v>Deficiencia de control</v>
      </c>
      <c r="J16" s="96">
        <f aca="true" t="shared" si="0" ref="J16:J27">+IF(G16="Si",20,IF(G16="En proceso",10,0))</f>
        <v>0</v>
      </c>
      <c r="K16" s="96">
        <v>0.123</v>
      </c>
      <c r="L16" s="96">
        <f>+J16+K16</f>
        <v>0.123</v>
      </c>
    </row>
    <row r="17" spans="1:12" s="46" customFormat="1" ht="63">
      <c r="A17" s="94" t="str">
        <f aca="true" t="shared" si="1" ref="A17:A27">1&amp;E17</f>
        <v>1b</v>
      </c>
      <c r="B17" s="246"/>
      <c r="C17" s="210"/>
      <c r="D17" s="243"/>
      <c r="E17" s="76" t="s">
        <v>38</v>
      </c>
      <c r="F17" s="77" t="s">
        <v>39</v>
      </c>
      <c r="G17" s="103" t="s">
        <v>40</v>
      </c>
      <c r="H17" s="151" t="s">
        <v>41</v>
      </c>
      <c r="I17" s="97" t="str">
        <f aca="true" t="shared" si="2" ref="I17:I59">+IF(G17="Si","Mantenimiento del control",IF(G17="En proceso","Oportunidad de mejora","Deficiencia de control"))</f>
        <v>Mantenimiento del control</v>
      </c>
      <c r="J17" s="98">
        <f t="shared" si="0"/>
        <v>20</v>
      </c>
      <c r="K17" s="96">
        <v>0.1234</v>
      </c>
      <c r="L17" s="96">
        <f aca="true" t="shared" si="3" ref="L17:L59">+J17+K17</f>
        <v>20.1234</v>
      </c>
    </row>
    <row r="18" spans="1:12" s="46" customFormat="1" ht="63">
      <c r="A18" s="94" t="str">
        <f t="shared" si="1"/>
        <v>1c</v>
      </c>
      <c r="B18" s="246"/>
      <c r="C18" s="210"/>
      <c r="D18" s="243"/>
      <c r="E18" s="76" t="s">
        <v>42</v>
      </c>
      <c r="F18" s="78" t="s">
        <v>43</v>
      </c>
      <c r="G18" s="103" t="s">
        <v>40</v>
      </c>
      <c r="H18" s="148" t="s">
        <v>225</v>
      </c>
      <c r="I18" s="99" t="str">
        <f t="shared" si="2"/>
        <v>Mantenimiento del control</v>
      </c>
      <c r="J18" s="98">
        <f t="shared" si="0"/>
        <v>20</v>
      </c>
      <c r="K18" s="96">
        <v>0.12345</v>
      </c>
      <c r="L18" s="96">
        <f t="shared" si="3"/>
        <v>20.12345</v>
      </c>
    </row>
    <row r="19" spans="1:12" s="46" customFormat="1" ht="47.25">
      <c r="A19" s="94" t="str">
        <f t="shared" si="1"/>
        <v>1d</v>
      </c>
      <c r="B19" s="246"/>
      <c r="C19" s="210"/>
      <c r="D19" s="243"/>
      <c r="E19" s="76" t="s">
        <v>44</v>
      </c>
      <c r="F19" s="78" t="s">
        <v>45</v>
      </c>
      <c r="G19" s="103" t="s">
        <v>40</v>
      </c>
      <c r="H19" s="148" t="s">
        <v>46</v>
      </c>
      <c r="I19" s="99" t="str">
        <f t="shared" si="2"/>
        <v>Mantenimiento del control</v>
      </c>
      <c r="J19" s="98">
        <f t="shared" si="0"/>
        <v>20</v>
      </c>
      <c r="K19" s="96">
        <v>0.123456</v>
      </c>
      <c r="L19" s="96">
        <f t="shared" si="3"/>
        <v>20.123456</v>
      </c>
    </row>
    <row r="20" spans="1:12" s="46" customFormat="1" ht="47.25">
      <c r="A20" s="94" t="str">
        <f t="shared" si="1"/>
        <v>1e</v>
      </c>
      <c r="B20" s="246"/>
      <c r="C20" s="210"/>
      <c r="D20" s="243"/>
      <c r="E20" s="76" t="s">
        <v>47</v>
      </c>
      <c r="F20" s="78" t="s">
        <v>48</v>
      </c>
      <c r="G20" s="103" t="s">
        <v>40</v>
      </c>
      <c r="H20" s="148" t="s">
        <v>49</v>
      </c>
      <c r="I20" s="99" t="str">
        <f t="shared" si="2"/>
        <v>Mantenimiento del control</v>
      </c>
      <c r="J20" s="98">
        <f t="shared" si="0"/>
        <v>20</v>
      </c>
      <c r="K20" s="96">
        <v>0.12345678</v>
      </c>
      <c r="L20" s="96">
        <f t="shared" si="3"/>
        <v>20.12345678</v>
      </c>
    </row>
    <row r="21" spans="1:12" s="46" customFormat="1" ht="94.5">
      <c r="A21" s="94" t="str">
        <f t="shared" si="1"/>
        <v>1f</v>
      </c>
      <c r="B21" s="246"/>
      <c r="C21" s="210"/>
      <c r="D21" s="243"/>
      <c r="E21" s="76" t="s">
        <v>50</v>
      </c>
      <c r="F21" s="78" t="s">
        <v>51</v>
      </c>
      <c r="G21" s="103" t="s">
        <v>40</v>
      </c>
      <c r="H21" s="148" t="s">
        <v>215</v>
      </c>
      <c r="I21" s="99" t="str">
        <f t="shared" si="2"/>
        <v>Mantenimiento del control</v>
      </c>
      <c r="J21" s="98">
        <f t="shared" si="0"/>
        <v>20</v>
      </c>
      <c r="K21" s="96">
        <v>0.123456789</v>
      </c>
      <c r="L21" s="96">
        <f t="shared" si="3"/>
        <v>20.123456789</v>
      </c>
    </row>
    <row r="22" spans="1:12" s="46" customFormat="1" ht="65.25" customHeight="1">
      <c r="A22" s="94" t="str">
        <f t="shared" si="1"/>
        <v>1g</v>
      </c>
      <c r="B22" s="246"/>
      <c r="C22" s="210"/>
      <c r="D22" s="243"/>
      <c r="E22" s="76" t="s">
        <v>53</v>
      </c>
      <c r="F22" s="78" t="s">
        <v>54</v>
      </c>
      <c r="G22" s="103" t="s">
        <v>40</v>
      </c>
      <c r="H22" s="148" t="s">
        <v>216</v>
      </c>
      <c r="I22" s="99" t="str">
        <f t="shared" si="2"/>
        <v>Mantenimiento del control</v>
      </c>
      <c r="J22" s="98">
        <f t="shared" si="0"/>
        <v>20</v>
      </c>
      <c r="K22" s="96">
        <v>0.1234567891</v>
      </c>
      <c r="L22" s="96">
        <f t="shared" si="3"/>
        <v>20.1234567891</v>
      </c>
    </row>
    <row r="23" spans="1:12" s="46" customFormat="1" ht="141.75">
      <c r="A23" s="94" t="str">
        <f t="shared" si="1"/>
        <v>1h</v>
      </c>
      <c r="B23" s="246"/>
      <c r="C23" s="210"/>
      <c r="D23" s="243"/>
      <c r="E23" s="76" t="s">
        <v>55</v>
      </c>
      <c r="F23" s="78" t="s">
        <v>56</v>
      </c>
      <c r="G23" s="103" t="s">
        <v>52</v>
      </c>
      <c r="H23" s="148" t="s">
        <v>230</v>
      </c>
      <c r="I23" s="99" t="str">
        <f t="shared" si="2"/>
        <v>Oportunidad de mejora</v>
      </c>
      <c r="J23" s="98">
        <f t="shared" si="0"/>
        <v>10</v>
      </c>
      <c r="K23" s="96">
        <v>0.12345678912</v>
      </c>
      <c r="L23" s="96">
        <f t="shared" si="3"/>
        <v>10.12345678912</v>
      </c>
    </row>
    <row r="24" spans="1:12" s="46" customFormat="1" ht="94.5">
      <c r="A24" s="94" t="str">
        <f t="shared" si="1"/>
        <v>1i</v>
      </c>
      <c r="B24" s="246"/>
      <c r="C24" s="210"/>
      <c r="D24" s="243"/>
      <c r="E24" s="76" t="s">
        <v>57</v>
      </c>
      <c r="F24" s="78" t="s">
        <v>58</v>
      </c>
      <c r="G24" s="103" t="s">
        <v>40</v>
      </c>
      <c r="H24" s="148" t="s">
        <v>217</v>
      </c>
      <c r="I24" s="99" t="str">
        <f t="shared" si="2"/>
        <v>Mantenimiento del control</v>
      </c>
      <c r="J24" s="98">
        <f t="shared" si="0"/>
        <v>20</v>
      </c>
      <c r="K24" s="96">
        <v>0.123456789123</v>
      </c>
      <c r="L24" s="96">
        <f t="shared" si="3"/>
        <v>20.123456789123</v>
      </c>
    </row>
    <row r="25" spans="1:12" s="46" customFormat="1" ht="52.5" customHeight="1">
      <c r="A25" s="94" t="str">
        <f t="shared" si="1"/>
        <v>1j</v>
      </c>
      <c r="B25" s="246"/>
      <c r="C25" s="210"/>
      <c r="D25" s="243"/>
      <c r="E25" s="76" t="s">
        <v>59</v>
      </c>
      <c r="F25" s="78" t="s">
        <v>60</v>
      </c>
      <c r="G25" s="103" t="s">
        <v>36</v>
      </c>
      <c r="H25" s="148" t="s">
        <v>61</v>
      </c>
      <c r="I25" s="99" t="str">
        <f t="shared" si="2"/>
        <v>Deficiencia de control</v>
      </c>
      <c r="J25" s="98">
        <f t="shared" si="0"/>
        <v>0</v>
      </c>
      <c r="K25" s="96">
        <v>0.1234567891234</v>
      </c>
      <c r="L25" s="96">
        <f t="shared" si="3"/>
        <v>0.1234567891234</v>
      </c>
    </row>
    <row r="26" spans="1:12" s="46" customFormat="1" ht="47.25">
      <c r="A26" s="94" t="str">
        <f t="shared" si="1"/>
        <v>1k</v>
      </c>
      <c r="B26" s="246"/>
      <c r="C26" s="210"/>
      <c r="D26" s="243"/>
      <c r="E26" s="76" t="s">
        <v>62</v>
      </c>
      <c r="F26" s="78" t="s">
        <v>63</v>
      </c>
      <c r="G26" s="103" t="s">
        <v>40</v>
      </c>
      <c r="H26" s="148" t="s">
        <v>231</v>
      </c>
      <c r="I26" s="99" t="str">
        <f t="shared" si="2"/>
        <v>Mantenimiento del control</v>
      </c>
      <c r="J26" s="98">
        <f t="shared" si="0"/>
        <v>20</v>
      </c>
      <c r="K26" s="96">
        <v>0.12345678912345</v>
      </c>
      <c r="L26" s="96">
        <f t="shared" si="3"/>
        <v>20.12345678912345</v>
      </c>
    </row>
    <row r="27" spans="1:12" s="46" customFormat="1" ht="48" thickBot="1">
      <c r="A27" s="94" t="str">
        <f t="shared" si="1"/>
        <v>1l</v>
      </c>
      <c r="B27" s="247"/>
      <c r="C27" s="211"/>
      <c r="D27" s="244"/>
      <c r="E27" s="79" t="s">
        <v>64</v>
      </c>
      <c r="F27" s="80" t="s">
        <v>65</v>
      </c>
      <c r="G27" s="104" t="s">
        <v>40</v>
      </c>
      <c r="H27" s="149" t="s">
        <v>66</v>
      </c>
      <c r="I27" s="100" t="str">
        <f t="shared" si="2"/>
        <v>Mantenimiento del control</v>
      </c>
      <c r="J27" s="98">
        <f t="shared" si="0"/>
        <v>20</v>
      </c>
      <c r="K27" s="96">
        <v>0.123456789123456</v>
      </c>
      <c r="L27" s="96">
        <f t="shared" si="3"/>
        <v>20.123456789123455</v>
      </c>
    </row>
    <row r="28" spans="1:12" s="46" customFormat="1" ht="126">
      <c r="A28" s="94" t="str">
        <f>2&amp;E28</f>
        <v>2a</v>
      </c>
      <c r="B28" s="248" t="s">
        <v>67</v>
      </c>
      <c r="C28" s="212" t="s">
        <v>68</v>
      </c>
      <c r="D28" s="251" t="s">
        <v>69</v>
      </c>
      <c r="E28" s="74" t="s">
        <v>34</v>
      </c>
      <c r="F28" s="75" t="s">
        <v>70</v>
      </c>
      <c r="G28" s="102" t="s">
        <v>52</v>
      </c>
      <c r="H28" s="147" t="s">
        <v>232</v>
      </c>
      <c r="I28" s="95" t="str">
        <f t="shared" si="2"/>
        <v>Oportunidad de mejora</v>
      </c>
      <c r="J28" s="96">
        <f>+IF(G28="Si",40,IF(G28="En proceso",30,20))</f>
        <v>30</v>
      </c>
      <c r="K28" s="96">
        <v>0.23</v>
      </c>
      <c r="L28" s="96">
        <f t="shared" si="3"/>
        <v>30.23</v>
      </c>
    </row>
    <row r="29" spans="1:12" s="46" customFormat="1" ht="110.25">
      <c r="A29" s="94" t="str">
        <f>2&amp;E29</f>
        <v>2b</v>
      </c>
      <c r="B29" s="249"/>
      <c r="C29" s="213"/>
      <c r="D29" s="227"/>
      <c r="E29" s="76" t="s">
        <v>38</v>
      </c>
      <c r="F29" s="78" t="s">
        <v>71</v>
      </c>
      <c r="G29" s="103" t="s">
        <v>40</v>
      </c>
      <c r="H29" s="148" t="s">
        <v>218</v>
      </c>
      <c r="I29" s="99" t="str">
        <f t="shared" si="2"/>
        <v>Mantenimiento del control</v>
      </c>
      <c r="J29" s="96">
        <f>+IF(G29="Si",40,IF(G29="En proceso",30,20))</f>
        <v>40</v>
      </c>
      <c r="K29" s="96">
        <v>0.234</v>
      </c>
      <c r="L29" s="96">
        <f t="shared" si="3"/>
        <v>40.234</v>
      </c>
    </row>
    <row r="30" spans="1:12" s="46" customFormat="1" ht="94.5">
      <c r="A30" s="94" t="str">
        <f>2&amp;E30</f>
        <v>2c</v>
      </c>
      <c r="B30" s="249"/>
      <c r="C30" s="213"/>
      <c r="D30" s="227"/>
      <c r="E30" s="76" t="s">
        <v>42</v>
      </c>
      <c r="F30" s="78" t="s">
        <v>72</v>
      </c>
      <c r="G30" s="103" t="s">
        <v>40</v>
      </c>
      <c r="H30" s="148" t="s">
        <v>233</v>
      </c>
      <c r="I30" s="99" t="str">
        <f t="shared" si="2"/>
        <v>Mantenimiento del control</v>
      </c>
      <c r="J30" s="96">
        <f>+IF(G30="Si",40,IF(G30="En proceso",30,20))</f>
        <v>40</v>
      </c>
      <c r="K30" s="96">
        <v>0.2345</v>
      </c>
      <c r="L30" s="96">
        <f t="shared" si="3"/>
        <v>40.2345</v>
      </c>
    </row>
    <row r="31" spans="1:12" s="46" customFormat="1" ht="95.25" thickBot="1">
      <c r="A31" s="94" t="str">
        <f>2&amp;E31</f>
        <v>2d</v>
      </c>
      <c r="B31" s="250"/>
      <c r="C31" s="214"/>
      <c r="D31" s="252"/>
      <c r="E31" s="79" t="s">
        <v>44</v>
      </c>
      <c r="F31" s="80" t="s">
        <v>73</v>
      </c>
      <c r="G31" s="104" t="s">
        <v>40</v>
      </c>
      <c r="H31" s="149" t="s">
        <v>236</v>
      </c>
      <c r="I31" s="100" t="str">
        <f t="shared" si="2"/>
        <v>Mantenimiento del control</v>
      </c>
      <c r="J31" s="96">
        <f>+IF(G31="Si",40,IF(G31="En proceso",30,20))</f>
        <v>40</v>
      </c>
      <c r="K31" s="96">
        <v>0.23456</v>
      </c>
      <c r="L31" s="96">
        <f t="shared" si="3"/>
        <v>40.23456</v>
      </c>
    </row>
    <row r="32" spans="1:32" s="46" customFormat="1" ht="63">
      <c r="A32" s="94" t="str">
        <f>3&amp;E32</f>
        <v>3a</v>
      </c>
      <c r="B32" s="224" t="s">
        <v>74</v>
      </c>
      <c r="C32" s="224" t="s">
        <v>68</v>
      </c>
      <c r="D32" s="225" t="s">
        <v>75</v>
      </c>
      <c r="E32" s="76" t="s">
        <v>34</v>
      </c>
      <c r="F32" s="78" t="s">
        <v>76</v>
      </c>
      <c r="G32" s="103" t="s">
        <v>40</v>
      </c>
      <c r="H32" s="148" t="s">
        <v>77</v>
      </c>
      <c r="I32" s="99" t="str">
        <f t="shared" si="2"/>
        <v>Mantenimiento del control</v>
      </c>
      <c r="J32" s="96">
        <f aca="true" t="shared" si="4" ref="J32:J37">+IF(G32="Si",40,IF(G32="En proceso",30,20))</f>
        <v>40</v>
      </c>
      <c r="K32" s="101">
        <v>0.234567</v>
      </c>
      <c r="L32" s="96">
        <f aca="true" t="shared" si="5" ref="L32:L37">+J32+K32</f>
        <v>40.234567</v>
      </c>
      <c r="M32" s="45"/>
      <c r="N32" s="45"/>
      <c r="O32" s="45"/>
      <c r="P32" s="45"/>
      <c r="Q32" s="45"/>
      <c r="R32" s="45"/>
      <c r="S32" s="45"/>
      <c r="T32" s="45"/>
      <c r="U32" s="45"/>
      <c r="V32" s="45"/>
      <c r="W32" s="45"/>
      <c r="X32" s="45"/>
      <c r="Y32" s="45"/>
      <c r="Z32" s="45"/>
      <c r="AA32" s="45"/>
      <c r="AB32" s="45"/>
      <c r="AC32" s="45"/>
      <c r="AD32" s="45"/>
      <c r="AE32" s="45"/>
      <c r="AF32" s="45"/>
    </row>
    <row r="33" spans="1:32" s="46" customFormat="1" ht="78.75">
      <c r="A33" s="94" t="str">
        <f>3&amp;E33</f>
        <v>3b</v>
      </c>
      <c r="B33" s="224"/>
      <c r="C33" s="224"/>
      <c r="D33" s="225"/>
      <c r="E33" s="76" t="s">
        <v>38</v>
      </c>
      <c r="F33" s="78" t="s">
        <v>78</v>
      </c>
      <c r="G33" s="103" t="s">
        <v>40</v>
      </c>
      <c r="H33" s="148" t="s">
        <v>219</v>
      </c>
      <c r="I33" s="99" t="str">
        <f t="shared" si="2"/>
        <v>Mantenimiento del control</v>
      </c>
      <c r="J33" s="96">
        <f t="shared" si="4"/>
        <v>40</v>
      </c>
      <c r="K33" s="101">
        <v>0.2345678</v>
      </c>
      <c r="L33" s="96">
        <f t="shared" si="5"/>
        <v>40.2345678</v>
      </c>
      <c r="M33" s="45"/>
      <c r="N33" s="45"/>
      <c r="O33" s="45"/>
      <c r="P33" s="45"/>
      <c r="Q33" s="45"/>
      <c r="R33" s="45"/>
      <c r="S33" s="45"/>
      <c r="T33" s="45"/>
      <c r="U33" s="45"/>
      <c r="V33" s="45"/>
      <c r="W33" s="45"/>
      <c r="X33" s="45"/>
      <c r="Y33" s="45"/>
      <c r="Z33" s="45"/>
      <c r="AA33" s="45"/>
      <c r="AB33" s="45"/>
      <c r="AC33" s="45"/>
      <c r="AD33" s="45"/>
      <c r="AE33" s="45"/>
      <c r="AF33" s="45"/>
    </row>
    <row r="34" spans="1:32" s="46" customFormat="1" ht="63.75" thickBot="1">
      <c r="A34" s="94" t="str">
        <f>3&amp;E34</f>
        <v>3c</v>
      </c>
      <c r="B34" s="224"/>
      <c r="C34" s="224"/>
      <c r="D34" s="225"/>
      <c r="E34" s="76" t="s">
        <v>42</v>
      </c>
      <c r="F34" s="78" t="s">
        <v>79</v>
      </c>
      <c r="G34" s="103" t="s">
        <v>40</v>
      </c>
      <c r="H34" s="148" t="s">
        <v>227</v>
      </c>
      <c r="I34" s="99" t="str">
        <f t="shared" si="2"/>
        <v>Mantenimiento del control</v>
      </c>
      <c r="J34" s="96">
        <f t="shared" si="4"/>
        <v>40</v>
      </c>
      <c r="K34" s="101">
        <v>0.23456789</v>
      </c>
      <c r="L34" s="96">
        <f t="shared" si="5"/>
        <v>40.23456789</v>
      </c>
      <c r="M34" s="45"/>
      <c r="N34" s="45"/>
      <c r="O34" s="45"/>
      <c r="P34" s="45"/>
      <c r="Q34" s="45"/>
      <c r="R34" s="45"/>
      <c r="S34" s="45"/>
      <c r="T34" s="45"/>
      <c r="U34" s="45"/>
      <c r="V34" s="45"/>
      <c r="W34" s="45"/>
      <c r="X34" s="45"/>
      <c r="Y34" s="45"/>
      <c r="Z34" s="45"/>
      <c r="AA34" s="45"/>
      <c r="AB34" s="45"/>
      <c r="AC34" s="45"/>
      <c r="AD34" s="45"/>
      <c r="AE34" s="45"/>
      <c r="AF34" s="45"/>
    </row>
    <row r="35" spans="1:17" s="46" customFormat="1" ht="110.25">
      <c r="A35" s="94" t="str">
        <f>4&amp;E35</f>
        <v>4a</v>
      </c>
      <c r="B35" s="226" t="s">
        <v>80</v>
      </c>
      <c r="C35" s="213" t="s">
        <v>68</v>
      </c>
      <c r="D35" s="227" t="s">
        <v>81</v>
      </c>
      <c r="E35" s="74" t="s">
        <v>34</v>
      </c>
      <c r="F35" s="75" t="s">
        <v>82</v>
      </c>
      <c r="G35" s="102" t="s">
        <v>40</v>
      </c>
      <c r="H35" s="147" t="s">
        <v>224</v>
      </c>
      <c r="I35" s="95" t="str">
        <f t="shared" si="2"/>
        <v>Mantenimiento del control</v>
      </c>
      <c r="J35" s="96">
        <f t="shared" si="4"/>
        <v>40</v>
      </c>
      <c r="K35" s="101">
        <v>0.2345678912</v>
      </c>
      <c r="L35" s="96">
        <f t="shared" si="5"/>
        <v>40.2345678912</v>
      </c>
      <c r="M35" s="45"/>
      <c r="N35" s="45"/>
      <c r="O35" s="45"/>
      <c r="P35" s="45"/>
      <c r="Q35" s="45"/>
    </row>
    <row r="36" spans="1:17" s="46" customFormat="1" ht="47.25">
      <c r="A36" s="94" t="str">
        <f>4&amp;E36</f>
        <v>4b</v>
      </c>
      <c r="B36" s="226"/>
      <c r="C36" s="213"/>
      <c r="D36" s="227"/>
      <c r="E36" s="76" t="s">
        <v>38</v>
      </c>
      <c r="F36" s="78" t="s">
        <v>83</v>
      </c>
      <c r="G36" s="103" t="s">
        <v>40</v>
      </c>
      <c r="H36" s="148" t="s">
        <v>84</v>
      </c>
      <c r="I36" s="99" t="str">
        <f t="shared" si="2"/>
        <v>Mantenimiento del control</v>
      </c>
      <c r="J36" s="96">
        <f t="shared" si="4"/>
        <v>40</v>
      </c>
      <c r="K36" s="101">
        <v>0.23456789123</v>
      </c>
      <c r="L36" s="96">
        <f t="shared" si="5"/>
        <v>40.23456789123</v>
      </c>
      <c r="M36" s="45"/>
      <c r="N36" s="45"/>
      <c r="O36" s="45"/>
      <c r="P36" s="45"/>
      <c r="Q36" s="45"/>
    </row>
    <row r="37" spans="1:17" s="46" customFormat="1" ht="48" thickBot="1">
      <c r="A37" s="94" t="str">
        <f>4&amp;E37</f>
        <v>4c</v>
      </c>
      <c r="B37" s="226"/>
      <c r="C37" s="213"/>
      <c r="D37" s="227"/>
      <c r="E37" s="76" t="s">
        <v>42</v>
      </c>
      <c r="F37" s="78" t="s">
        <v>85</v>
      </c>
      <c r="G37" s="103" t="s">
        <v>40</v>
      </c>
      <c r="H37" s="148" t="s">
        <v>220</v>
      </c>
      <c r="I37" s="99" t="str">
        <f t="shared" si="2"/>
        <v>Mantenimiento del control</v>
      </c>
      <c r="J37" s="96">
        <f t="shared" si="4"/>
        <v>40</v>
      </c>
      <c r="K37" s="101">
        <v>0.234567891234</v>
      </c>
      <c r="L37" s="96">
        <f t="shared" si="5"/>
        <v>40.234567891234</v>
      </c>
      <c r="M37" s="45"/>
      <c r="N37" s="45"/>
      <c r="O37" s="45"/>
      <c r="P37" s="45"/>
      <c r="Q37" s="45"/>
    </row>
    <row r="38" spans="1:12" s="46" customFormat="1" ht="110.25">
      <c r="A38" s="94" t="str">
        <f>5&amp;E38</f>
        <v>5a</v>
      </c>
      <c r="B38" s="228" t="s">
        <v>86</v>
      </c>
      <c r="C38" s="215" t="s">
        <v>87</v>
      </c>
      <c r="D38" s="231" t="s">
        <v>88</v>
      </c>
      <c r="E38" s="74" t="s">
        <v>34</v>
      </c>
      <c r="F38" s="75" t="s">
        <v>89</v>
      </c>
      <c r="G38" s="102" t="s">
        <v>40</v>
      </c>
      <c r="H38" s="147" t="s">
        <v>221</v>
      </c>
      <c r="I38" s="95" t="str">
        <f t="shared" si="2"/>
        <v>Mantenimiento del control</v>
      </c>
      <c r="J38" s="96">
        <f>+IF(G38="Si",60,IF(G38="En proceso",50,40))</f>
        <v>60</v>
      </c>
      <c r="K38" s="96">
        <v>0.31</v>
      </c>
      <c r="L38" s="96">
        <f t="shared" si="3"/>
        <v>60.31</v>
      </c>
    </row>
    <row r="39" spans="1:12" s="46" customFormat="1" ht="94.5">
      <c r="A39" s="94" t="str">
        <f>5&amp;E39</f>
        <v>5b</v>
      </c>
      <c r="B39" s="229"/>
      <c r="C39" s="216"/>
      <c r="D39" s="232"/>
      <c r="E39" s="76" t="s">
        <v>38</v>
      </c>
      <c r="F39" s="78" t="s">
        <v>90</v>
      </c>
      <c r="G39" s="103" t="s">
        <v>52</v>
      </c>
      <c r="H39" s="148" t="s">
        <v>228</v>
      </c>
      <c r="I39" s="99" t="str">
        <f t="shared" si="2"/>
        <v>Oportunidad de mejora</v>
      </c>
      <c r="J39" s="96">
        <f>+IF(G39="Si",60,IF(G39="En proceso",50,40))</f>
        <v>50</v>
      </c>
      <c r="K39" s="96">
        <v>0.323</v>
      </c>
      <c r="L39" s="96">
        <f t="shared" si="3"/>
        <v>50.323</v>
      </c>
    </row>
    <row r="40" spans="1:12" s="46" customFormat="1" ht="78.75">
      <c r="A40" s="94" t="str">
        <f>5&amp;E40</f>
        <v>5c</v>
      </c>
      <c r="B40" s="229"/>
      <c r="C40" s="216"/>
      <c r="D40" s="232"/>
      <c r="E40" s="76" t="s">
        <v>42</v>
      </c>
      <c r="F40" s="78" t="s">
        <v>91</v>
      </c>
      <c r="G40" s="103" t="s">
        <v>52</v>
      </c>
      <c r="H40" s="148" t="s">
        <v>222</v>
      </c>
      <c r="I40" s="99" t="str">
        <f t="shared" si="2"/>
        <v>Oportunidad de mejora</v>
      </c>
      <c r="J40" s="96">
        <f>+IF(G40="Si",60,IF(G40="En proceso",50,40))</f>
        <v>50</v>
      </c>
      <c r="K40" s="96">
        <v>0.324</v>
      </c>
      <c r="L40" s="96">
        <f t="shared" si="3"/>
        <v>50.324</v>
      </c>
    </row>
    <row r="41" spans="1:12" s="46" customFormat="1" ht="94.5">
      <c r="A41" s="94" t="str">
        <f>5&amp;E41</f>
        <v>5d</v>
      </c>
      <c r="B41" s="229"/>
      <c r="C41" s="216"/>
      <c r="D41" s="232"/>
      <c r="E41" s="76" t="s">
        <v>44</v>
      </c>
      <c r="F41" s="78" t="s">
        <v>92</v>
      </c>
      <c r="G41" s="103" t="s">
        <v>40</v>
      </c>
      <c r="H41" s="148" t="s">
        <v>93</v>
      </c>
      <c r="I41" s="99" t="str">
        <f t="shared" si="2"/>
        <v>Mantenimiento del control</v>
      </c>
      <c r="J41" s="96">
        <f>+IF(G41="Si",60,IF(G41="En proceso",50,40))</f>
        <v>60</v>
      </c>
      <c r="K41" s="96">
        <v>0.325</v>
      </c>
      <c r="L41" s="96">
        <f t="shared" si="3"/>
        <v>60.325</v>
      </c>
    </row>
    <row r="42" spans="1:12" s="46" customFormat="1" ht="79.5" thickBot="1">
      <c r="A42" s="94" t="str">
        <f>5&amp;E42</f>
        <v>5e</v>
      </c>
      <c r="B42" s="230"/>
      <c r="C42" s="217"/>
      <c r="D42" s="233"/>
      <c r="E42" s="79" t="s">
        <v>47</v>
      </c>
      <c r="F42" s="80" t="s">
        <v>94</v>
      </c>
      <c r="G42" s="104" t="s">
        <v>40</v>
      </c>
      <c r="H42" s="149" t="s">
        <v>234</v>
      </c>
      <c r="I42" s="100" t="str">
        <f t="shared" si="2"/>
        <v>Mantenimiento del control</v>
      </c>
      <c r="J42" s="96">
        <f>+IF(G42="Si",60,IF(G42="En proceso",50,40))</f>
        <v>60</v>
      </c>
      <c r="K42" s="96">
        <v>0.326</v>
      </c>
      <c r="L42" s="96">
        <f t="shared" si="3"/>
        <v>60.326</v>
      </c>
    </row>
    <row r="43" spans="1:12" s="46" customFormat="1" ht="63">
      <c r="A43" s="94" t="str">
        <f>6&amp;E43</f>
        <v>6a</v>
      </c>
      <c r="B43" s="238" t="s">
        <v>95</v>
      </c>
      <c r="C43" s="218" t="s">
        <v>96</v>
      </c>
      <c r="D43" s="235" t="s">
        <v>97</v>
      </c>
      <c r="E43" s="74" t="s">
        <v>34</v>
      </c>
      <c r="F43" s="75" t="s">
        <v>98</v>
      </c>
      <c r="G43" s="102" t="s">
        <v>40</v>
      </c>
      <c r="H43" s="147" t="s">
        <v>99</v>
      </c>
      <c r="I43" s="95" t="str">
        <f t="shared" si="2"/>
        <v>Mantenimiento del control</v>
      </c>
      <c r="J43" s="96">
        <f aca="true" t="shared" si="6" ref="J43:J49">+IF(G43="Si",80,IF(G43="En proceso",70,60))</f>
        <v>80</v>
      </c>
      <c r="K43" s="96">
        <v>0.412</v>
      </c>
      <c r="L43" s="96">
        <f t="shared" si="3"/>
        <v>80.412</v>
      </c>
    </row>
    <row r="44" spans="1:12" s="46" customFormat="1" ht="78.75">
      <c r="A44" s="94" t="str">
        <f aca="true" t="shared" si="7" ref="A44:A49">6&amp;E44</f>
        <v>6b</v>
      </c>
      <c r="B44" s="239"/>
      <c r="C44" s="219"/>
      <c r="D44" s="236"/>
      <c r="E44" s="76" t="s">
        <v>38</v>
      </c>
      <c r="F44" s="78" t="s">
        <v>100</v>
      </c>
      <c r="G44" s="103" t="s">
        <v>40</v>
      </c>
      <c r="H44" s="148" t="s">
        <v>101</v>
      </c>
      <c r="I44" s="99" t="str">
        <f t="shared" si="2"/>
        <v>Mantenimiento del control</v>
      </c>
      <c r="J44" s="96">
        <f t="shared" si="6"/>
        <v>80</v>
      </c>
      <c r="K44" s="96">
        <v>0.4123</v>
      </c>
      <c r="L44" s="96">
        <f t="shared" si="3"/>
        <v>80.4123</v>
      </c>
    </row>
    <row r="45" spans="1:12" s="46" customFormat="1" ht="47.25">
      <c r="A45" s="94" t="str">
        <f t="shared" si="7"/>
        <v>6c</v>
      </c>
      <c r="B45" s="239"/>
      <c r="C45" s="219"/>
      <c r="D45" s="236"/>
      <c r="E45" s="76" t="s">
        <v>42</v>
      </c>
      <c r="F45" s="78" t="s">
        <v>102</v>
      </c>
      <c r="G45" s="103" t="s">
        <v>40</v>
      </c>
      <c r="H45" s="148" t="s">
        <v>103</v>
      </c>
      <c r="I45" s="99" t="str">
        <f t="shared" si="2"/>
        <v>Mantenimiento del control</v>
      </c>
      <c r="J45" s="96">
        <f t="shared" si="6"/>
        <v>80</v>
      </c>
      <c r="K45" s="96">
        <v>0.41234</v>
      </c>
      <c r="L45" s="96">
        <f t="shared" si="3"/>
        <v>80.41234</v>
      </c>
    </row>
    <row r="46" spans="1:12" s="46" customFormat="1" ht="31.5">
      <c r="A46" s="94" t="str">
        <f t="shared" si="7"/>
        <v>6d</v>
      </c>
      <c r="B46" s="239"/>
      <c r="C46" s="219"/>
      <c r="D46" s="236"/>
      <c r="E46" s="76" t="s">
        <v>44</v>
      </c>
      <c r="F46" s="78" t="s">
        <v>104</v>
      </c>
      <c r="G46" s="103" t="s">
        <v>36</v>
      </c>
      <c r="H46" s="148" t="s">
        <v>105</v>
      </c>
      <c r="I46" s="99" t="str">
        <f t="shared" si="2"/>
        <v>Deficiencia de control</v>
      </c>
      <c r="J46" s="96">
        <f t="shared" si="6"/>
        <v>60</v>
      </c>
      <c r="K46" s="96">
        <v>0.412345</v>
      </c>
      <c r="L46" s="96">
        <f t="shared" si="3"/>
        <v>60.412345</v>
      </c>
    </row>
    <row r="47" spans="1:12" s="46" customFormat="1" ht="63">
      <c r="A47" s="94" t="str">
        <f t="shared" si="7"/>
        <v>6e</v>
      </c>
      <c r="B47" s="239"/>
      <c r="C47" s="219"/>
      <c r="D47" s="236"/>
      <c r="E47" s="76" t="s">
        <v>47</v>
      </c>
      <c r="F47" s="78" t="s">
        <v>106</v>
      </c>
      <c r="G47" s="103" t="s">
        <v>52</v>
      </c>
      <c r="H47" s="148" t="s">
        <v>107</v>
      </c>
      <c r="I47" s="99" t="str">
        <f t="shared" si="2"/>
        <v>Oportunidad de mejora</v>
      </c>
      <c r="J47" s="96">
        <f t="shared" si="6"/>
        <v>70</v>
      </c>
      <c r="K47" s="96">
        <v>0.4123456</v>
      </c>
      <c r="L47" s="96">
        <f t="shared" si="3"/>
        <v>70.4123456</v>
      </c>
    </row>
    <row r="48" spans="1:12" s="46" customFormat="1" ht="63">
      <c r="A48" s="94" t="str">
        <f t="shared" si="7"/>
        <v>6f</v>
      </c>
      <c r="B48" s="239"/>
      <c r="C48" s="219"/>
      <c r="D48" s="236"/>
      <c r="E48" s="76" t="s">
        <v>50</v>
      </c>
      <c r="F48" s="78" t="s">
        <v>108</v>
      </c>
      <c r="G48" s="103" t="s">
        <v>52</v>
      </c>
      <c r="H48" s="148" t="s">
        <v>109</v>
      </c>
      <c r="I48" s="99" t="str">
        <f t="shared" si="2"/>
        <v>Oportunidad de mejora</v>
      </c>
      <c r="J48" s="96">
        <f t="shared" si="6"/>
        <v>70</v>
      </c>
      <c r="K48" s="96">
        <v>0.41234567</v>
      </c>
      <c r="L48" s="96">
        <f t="shared" si="3"/>
        <v>70.41234567</v>
      </c>
    </row>
    <row r="49" spans="1:12" s="46" customFormat="1" ht="48" thickBot="1">
      <c r="A49" s="94" t="str">
        <f t="shared" si="7"/>
        <v>6g</v>
      </c>
      <c r="B49" s="240"/>
      <c r="C49" s="220"/>
      <c r="D49" s="237"/>
      <c r="E49" s="79" t="s">
        <v>53</v>
      </c>
      <c r="F49" s="80" t="s">
        <v>110</v>
      </c>
      <c r="G49" s="104" t="s">
        <v>40</v>
      </c>
      <c r="H49" s="149" t="s">
        <v>111</v>
      </c>
      <c r="I49" s="100" t="str">
        <f t="shared" si="2"/>
        <v>Mantenimiento del control</v>
      </c>
      <c r="J49" s="96">
        <f t="shared" si="6"/>
        <v>80</v>
      </c>
      <c r="K49" s="96">
        <v>0.412345678</v>
      </c>
      <c r="L49" s="96">
        <f t="shared" si="3"/>
        <v>80.412345678</v>
      </c>
    </row>
    <row r="50" spans="1:12" s="46" customFormat="1" ht="47.25">
      <c r="A50" s="94" t="str">
        <f>7&amp;E50</f>
        <v>7a</v>
      </c>
      <c r="B50" s="206" t="s">
        <v>112</v>
      </c>
      <c r="C50" s="221" t="s">
        <v>113</v>
      </c>
      <c r="D50" s="203" t="s">
        <v>114</v>
      </c>
      <c r="E50" s="74" t="s">
        <v>34</v>
      </c>
      <c r="F50" s="75" t="s">
        <v>115</v>
      </c>
      <c r="G50" s="102" t="s">
        <v>40</v>
      </c>
      <c r="H50" s="147" t="s">
        <v>237</v>
      </c>
      <c r="I50" s="95" t="str">
        <f t="shared" si="2"/>
        <v>Mantenimiento del control</v>
      </c>
      <c r="J50" s="96">
        <f>+IF(G50="Si",120,IF(G50="En proceso",100,80))</f>
        <v>120</v>
      </c>
      <c r="K50" s="96">
        <v>0.851</v>
      </c>
      <c r="L50" s="96">
        <f t="shared" si="3"/>
        <v>120.851</v>
      </c>
    </row>
    <row r="51" spans="1:12" s="46" customFormat="1" ht="94.5">
      <c r="A51" s="94" t="str">
        <f>7&amp;E51</f>
        <v>7d</v>
      </c>
      <c r="B51" s="207"/>
      <c r="C51" s="222"/>
      <c r="D51" s="204"/>
      <c r="E51" s="76" t="s">
        <v>44</v>
      </c>
      <c r="F51" s="78" t="s">
        <v>116</v>
      </c>
      <c r="G51" s="103" t="s">
        <v>40</v>
      </c>
      <c r="H51" s="148" t="s">
        <v>223</v>
      </c>
      <c r="I51" s="99" t="str">
        <f t="shared" si="2"/>
        <v>Mantenimiento del control</v>
      </c>
      <c r="J51" s="96">
        <f aca="true" t="shared" si="8" ref="J51:J59">+IF(G51="Si",120,IF(G51="En proceso",100,80))</f>
        <v>120</v>
      </c>
      <c r="K51" s="96">
        <v>0.8512</v>
      </c>
      <c r="L51" s="96">
        <f t="shared" si="3"/>
        <v>120.8512</v>
      </c>
    </row>
    <row r="52" spans="1:12" s="46" customFormat="1" ht="63">
      <c r="A52" s="94" t="str">
        <f>7&amp;E52</f>
        <v>7f</v>
      </c>
      <c r="B52" s="207"/>
      <c r="C52" s="222"/>
      <c r="D52" s="204"/>
      <c r="E52" s="76" t="s">
        <v>50</v>
      </c>
      <c r="F52" s="78" t="s">
        <v>117</v>
      </c>
      <c r="G52" s="103" t="s">
        <v>40</v>
      </c>
      <c r="H52" s="148" t="s">
        <v>118</v>
      </c>
      <c r="I52" s="99" t="str">
        <f t="shared" si="2"/>
        <v>Mantenimiento del control</v>
      </c>
      <c r="J52" s="96">
        <f t="shared" si="8"/>
        <v>120</v>
      </c>
      <c r="K52" s="96">
        <v>0.85123</v>
      </c>
      <c r="L52" s="96">
        <f t="shared" si="3"/>
        <v>120.85123</v>
      </c>
    </row>
    <row r="53" spans="1:12" s="46" customFormat="1" ht="111" thickBot="1">
      <c r="A53" s="94" t="str">
        <f>7&amp;E53</f>
        <v>7g</v>
      </c>
      <c r="B53" s="208"/>
      <c r="C53" s="223"/>
      <c r="D53" s="241"/>
      <c r="E53" s="79" t="s">
        <v>53</v>
      </c>
      <c r="F53" s="80" t="s">
        <v>119</v>
      </c>
      <c r="G53" s="104" t="s">
        <v>40</v>
      </c>
      <c r="H53" s="149" t="s">
        <v>120</v>
      </c>
      <c r="I53" s="100" t="str">
        <f t="shared" si="2"/>
        <v>Mantenimiento del control</v>
      </c>
      <c r="J53" s="96">
        <f t="shared" si="8"/>
        <v>120</v>
      </c>
      <c r="K53" s="96">
        <v>0.851234</v>
      </c>
      <c r="L53" s="96">
        <f t="shared" si="3"/>
        <v>120.851234</v>
      </c>
    </row>
    <row r="54" spans="1:12" s="46" customFormat="1" ht="102.75" customHeight="1" thickBot="1">
      <c r="A54" s="94" t="str">
        <f>8&amp;E54</f>
        <v>8h</v>
      </c>
      <c r="B54" s="152" t="s">
        <v>121</v>
      </c>
      <c r="C54" s="153" t="s">
        <v>113</v>
      </c>
      <c r="D54" s="70" t="s">
        <v>122</v>
      </c>
      <c r="E54" s="74" t="s">
        <v>55</v>
      </c>
      <c r="F54" s="75" t="s">
        <v>123</v>
      </c>
      <c r="G54" s="102" t="s">
        <v>40</v>
      </c>
      <c r="H54" s="147" t="s">
        <v>124</v>
      </c>
      <c r="I54" s="95" t="str">
        <f t="shared" si="2"/>
        <v>Mantenimiento del control</v>
      </c>
      <c r="J54" s="96">
        <f t="shared" si="8"/>
        <v>120</v>
      </c>
      <c r="K54" s="96">
        <v>0.8512345</v>
      </c>
      <c r="L54" s="96">
        <f t="shared" si="3"/>
        <v>120.8512345</v>
      </c>
    </row>
    <row r="55" spans="1:17" s="46" customFormat="1" ht="78.75">
      <c r="A55" s="94" t="str">
        <f>9&amp;E55</f>
        <v>9a</v>
      </c>
      <c r="B55" s="206" t="s">
        <v>125</v>
      </c>
      <c r="C55" s="221" t="s">
        <v>113</v>
      </c>
      <c r="D55" s="203" t="s">
        <v>126</v>
      </c>
      <c r="E55" s="74" t="s">
        <v>34</v>
      </c>
      <c r="F55" s="75" t="s">
        <v>127</v>
      </c>
      <c r="G55" s="102" t="s">
        <v>52</v>
      </c>
      <c r="H55" s="147" t="s">
        <v>226</v>
      </c>
      <c r="I55" s="95" t="str">
        <f t="shared" si="2"/>
        <v>Oportunidad de mejora</v>
      </c>
      <c r="J55" s="96">
        <f t="shared" si="8"/>
        <v>100</v>
      </c>
      <c r="K55" s="101">
        <v>0.85123456</v>
      </c>
      <c r="L55" s="96">
        <f t="shared" si="3"/>
        <v>100.85123456</v>
      </c>
      <c r="M55" s="45"/>
      <c r="N55" s="45"/>
      <c r="O55" s="45"/>
      <c r="P55" s="45"/>
      <c r="Q55" s="45"/>
    </row>
    <row r="56" spans="1:17" s="46" customFormat="1" ht="55.5" customHeight="1" thickBot="1">
      <c r="A56" s="94" t="str">
        <f>9&amp;E56</f>
        <v>9b</v>
      </c>
      <c r="B56" s="207"/>
      <c r="C56" s="222"/>
      <c r="D56" s="204"/>
      <c r="E56" s="76" t="s">
        <v>38</v>
      </c>
      <c r="F56" s="78" t="s">
        <v>129</v>
      </c>
      <c r="G56" s="103" t="s">
        <v>52</v>
      </c>
      <c r="H56" s="148" t="s">
        <v>130</v>
      </c>
      <c r="I56" s="99" t="str">
        <f t="shared" si="2"/>
        <v>Oportunidad de mejora</v>
      </c>
      <c r="J56" s="96">
        <f t="shared" si="8"/>
        <v>100</v>
      </c>
      <c r="K56" s="101">
        <v>0.851234567</v>
      </c>
      <c r="L56" s="96">
        <f t="shared" si="3"/>
        <v>100.851234567</v>
      </c>
      <c r="M56" s="45"/>
      <c r="N56" s="45"/>
      <c r="O56" s="45"/>
      <c r="P56" s="45"/>
      <c r="Q56" s="45"/>
    </row>
    <row r="57" spans="1:17" s="46" customFormat="1" ht="77.25" customHeight="1" thickBot="1">
      <c r="A57" s="94" t="str">
        <f>9&amp;E57</f>
        <v>9c</v>
      </c>
      <c r="B57" s="207"/>
      <c r="C57" s="222"/>
      <c r="D57" s="204"/>
      <c r="E57" s="76" t="s">
        <v>42</v>
      </c>
      <c r="F57" s="78" t="s">
        <v>131</v>
      </c>
      <c r="G57" s="103" t="s">
        <v>52</v>
      </c>
      <c r="H57" s="147" t="s">
        <v>128</v>
      </c>
      <c r="I57" s="99" t="str">
        <f t="shared" si="2"/>
        <v>Oportunidad de mejora</v>
      </c>
      <c r="J57" s="96">
        <f t="shared" si="8"/>
        <v>100</v>
      </c>
      <c r="K57" s="101">
        <v>0.8512345678</v>
      </c>
      <c r="L57" s="96">
        <f t="shared" si="3"/>
        <v>100.8512345678</v>
      </c>
      <c r="M57" s="45"/>
      <c r="N57" s="45"/>
      <c r="O57" s="45"/>
      <c r="P57" s="45"/>
      <c r="Q57" s="45"/>
    </row>
    <row r="58" spans="1:17" s="46" customFormat="1" ht="77.25" customHeight="1">
      <c r="A58" s="94" t="str">
        <f>9&amp;E58</f>
        <v>9d</v>
      </c>
      <c r="B58" s="207"/>
      <c r="C58" s="222"/>
      <c r="D58" s="204"/>
      <c r="E58" s="76" t="s">
        <v>44</v>
      </c>
      <c r="F58" s="78" t="s">
        <v>132</v>
      </c>
      <c r="G58" s="103" t="s">
        <v>52</v>
      </c>
      <c r="H58" s="147" t="s">
        <v>128</v>
      </c>
      <c r="I58" s="99" t="str">
        <f t="shared" si="2"/>
        <v>Oportunidad de mejora</v>
      </c>
      <c r="J58" s="96">
        <f t="shared" si="8"/>
        <v>100</v>
      </c>
      <c r="K58" s="101">
        <v>0.85123456789</v>
      </c>
      <c r="L58" s="96">
        <f t="shared" si="3"/>
        <v>100.85123456789</v>
      </c>
      <c r="M58" s="45"/>
      <c r="N58" s="45"/>
      <c r="O58" s="45"/>
      <c r="P58" s="45"/>
      <c r="Q58" s="45"/>
    </row>
    <row r="59" spans="1:17" s="46" customFormat="1" ht="77.25" customHeight="1" thickBot="1">
      <c r="A59" s="94" t="str">
        <f>9&amp;E59</f>
        <v>9e</v>
      </c>
      <c r="B59" s="208"/>
      <c r="C59" s="222"/>
      <c r="D59" s="205"/>
      <c r="E59" s="79" t="s">
        <v>47</v>
      </c>
      <c r="F59" s="80" t="s">
        <v>133</v>
      </c>
      <c r="G59" s="104" t="s">
        <v>40</v>
      </c>
      <c r="H59" s="149" t="s">
        <v>134</v>
      </c>
      <c r="I59" s="100" t="str">
        <f t="shared" si="2"/>
        <v>Mantenimiento del control</v>
      </c>
      <c r="J59" s="96">
        <f t="shared" si="8"/>
        <v>120</v>
      </c>
      <c r="K59" s="101">
        <v>0.851234567891</v>
      </c>
      <c r="L59" s="96">
        <f t="shared" si="3"/>
        <v>120.851234567891</v>
      </c>
      <c r="M59" s="45"/>
      <c r="N59" s="45"/>
      <c r="O59" s="45"/>
      <c r="P59" s="45"/>
      <c r="Q59" s="45"/>
    </row>
  </sheetData>
  <sheetProtection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K74"/>
  <sheetViews>
    <sheetView zoomScale="125" zoomScaleNormal="125" zoomScalePageLayoutView="0" workbookViewId="0" topLeftCell="C55">
      <selection activeCell="F19" sqref="F19"/>
    </sheetView>
  </sheetViews>
  <sheetFormatPr defaultColWidth="11.421875" defaultRowHeight="15"/>
  <cols>
    <col min="3" max="3" width="22.8515625" style="0" customWidth="1"/>
    <col min="4" max="4" width="22.421875" style="0" customWidth="1"/>
    <col min="5" max="5" width="53.421875" style="0" customWidth="1"/>
    <col min="7" max="7" width="28.28125" style="0" customWidth="1"/>
    <col min="8" max="8" width="4.8515625" style="0" customWidth="1"/>
    <col min="9" max="9" width="15.28125" style="0" customWidth="1"/>
    <col min="10" max="10" width="22.421875" style="0" customWidth="1"/>
    <col min="11" max="29" width="11.421875" style="1" customWidth="1"/>
  </cols>
  <sheetData>
    <row r="1" spans="1:10" ht="15">
      <c r="A1" s="1"/>
      <c r="B1" s="1"/>
      <c r="C1" s="1"/>
      <c r="D1" s="1"/>
      <c r="E1" s="1"/>
      <c r="F1" s="1"/>
      <c r="G1" s="1"/>
      <c r="H1" s="1"/>
      <c r="I1" s="1"/>
      <c r="J1" s="1"/>
    </row>
    <row r="2" s="1" customFormat="1" ht="15"/>
    <row r="3" s="1" customFormat="1" ht="15"/>
    <row r="4" spans="1:10" ht="15">
      <c r="A4" s="1"/>
      <c r="B4" s="1"/>
      <c r="C4" s="1"/>
      <c r="D4" s="1"/>
      <c r="E4" s="1"/>
      <c r="F4" s="1"/>
      <c r="G4" s="1"/>
      <c r="H4" s="1"/>
      <c r="I4" s="1"/>
      <c r="J4" s="1"/>
    </row>
    <row r="5" spans="1:10" ht="15">
      <c r="A5" s="1"/>
      <c r="B5" s="1"/>
      <c r="C5" s="1"/>
      <c r="D5" s="1"/>
      <c r="E5" s="1"/>
      <c r="F5" s="1"/>
      <c r="G5" s="1"/>
      <c r="H5" s="1"/>
      <c r="I5" s="1"/>
      <c r="J5" s="1"/>
    </row>
    <row r="6" spans="1:10" ht="15.75" thickBot="1">
      <c r="A6" s="1"/>
      <c r="B6" s="1"/>
      <c r="C6" s="1"/>
      <c r="D6" s="1"/>
      <c r="E6" s="1"/>
      <c r="F6" s="1"/>
      <c r="G6" s="1"/>
      <c r="H6" s="1"/>
      <c r="I6" s="1"/>
      <c r="J6" s="1"/>
    </row>
    <row r="7" spans="1:11" ht="26.25" thickBot="1">
      <c r="A7" s="1"/>
      <c r="B7" s="1"/>
      <c r="C7" s="284" t="s">
        <v>135</v>
      </c>
      <c r="D7" s="285"/>
      <c r="E7" s="285"/>
      <c r="F7" s="285"/>
      <c r="G7" s="285"/>
      <c r="H7" s="285"/>
      <c r="I7" s="285"/>
      <c r="J7" s="285"/>
      <c r="K7" s="286"/>
    </row>
    <row r="8" spans="3:11" s="1" customFormat="1" ht="15.75" thickBot="1">
      <c r="C8" s="36"/>
      <c r="D8" s="36"/>
      <c r="E8" s="37"/>
      <c r="F8" s="37"/>
      <c r="G8" s="37"/>
      <c r="H8" s="37"/>
      <c r="I8" s="47"/>
      <c r="J8" s="37"/>
      <c r="K8" s="37"/>
    </row>
    <row r="9" spans="1:11" ht="21" thickBot="1">
      <c r="A9" s="1"/>
      <c r="B9" s="1"/>
      <c r="C9" s="186" t="s">
        <v>15</v>
      </c>
      <c r="D9" s="187"/>
      <c r="E9" s="187" t="s">
        <v>16</v>
      </c>
      <c r="F9" s="198"/>
      <c r="G9" s="37"/>
      <c r="H9" s="37"/>
      <c r="I9" s="47"/>
      <c r="J9" s="37"/>
      <c r="K9" s="37"/>
    </row>
    <row r="10" spans="1:11" ht="54" customHeight="1">
      <c r="A10" s="1"/>
      <c r="B10" s="1"/>
      <c r="C10" s="199" t="s">
        <v>17</v>
      </c>
      <c r="D10" s="200"/>
      <c r="E10" s="201" t="s">
        <v>18</v>
      </c>
      <c r="F10" s="202"/>
      <c r="G10" s="38"/>
      <c r="H10" s="39">
        <v>1</v>
      </c>
      <c r="I10" s="47"/>
      <c r="J10" s="37"/>
      <c r="K10" s="37"/>
    </row>
    <row r="11" spans="1:11" ht="46.5" customHeight="1">
      <c r="A11" s="1"/>
      <c r="B11" s="1"/>
      <c r="C11" s="188" t="s">
        <v>19</v>
      </c>
      <c r="D11" s="189"/>
      <c r="E11" s="190" t="s">
        <v>136</v>
      </c>
      <c r="F11" s="191"/>
      <c r="G11" s="40" t="s">
        <v>137</v>
      </c>
      <c r="H11" s="39">
        <v>0.75</v>
      </c>
      <c r="I11" s="47"/>
      <c r="J11" s="37"/>
      <c r="K11" s="37"/>
    </row>
    <row r="12" spans="1:11" ht="70.5" customHeight="1" thickBot="1">
      <c r="A12" s="1"/>
      <c r="B12" s="1"/>
      <c r="C12" s="192" t="s">
        <v>21</v>
      </c>
      <c r="D12" s="193"/>
      <c r="E12" s="194" t="s">
        <v>138</v>
      </c>
      <c r="F12" s="195"/>
      <c r="G12" s="41"/>
      <c r="H12" s="39">
        <v>0.25</v>
      </c>
      <c r="I12" s="47"/>
      <c r="J12" s="37"/>
      <c r="K12" s="37"/>
    </row>
    <row r="13" s="1" customFormat="1" ht="15"/>
    <row r="14" s="1" customFormat="1" ht="15"/>
    <row r="15" s="1" customFormat="1" ht="15"/>
    <row r="16" s="1" customFormat="1" ht="15.75" thickBot="1"/>
    <row r="17" spans="1:10" ht="15">
      <c r="A17" s="1"/>
      <c r="B17" s="1"/>
      <c r="C17" s="276" t="s">
        <v>139</v>
      </c>
      <c r="D17" s="278" t="s">
        <v>140</v>
      </c>
      <c r="E17" s="279"/>
      <c r="F17" s="280" t="s">
        <v>141</v>
      </c>
      <c r="G17" s="282" t="s">
        <v>142</v>
      </c>
      <c r="H17" s="35"/>
      <c r="I17" s="271" t="s">
        <v>143</v>
      </c>
      <c r="J17" s="271" t="s">
        <v>144</v>
      </c>
    </row>
    <row r="18" spans="1:10" ht="36" customHeight="1" thickBot="1">
      <c r="A18" s="1"/>
      <c r="B18" s="1"/>
      <c r="C18" s="277"/>
      <c r="D18" s="105" t="s">
        <v>145</v>
      </c>
      <c r="E18" s="106" t="s">
        <v>27</v>
      </c>
      <c r="F18" s="281"/>
      <c r="G18" s="283"/>
      <c r="H18" s="35"/>
      <c r="I18" s="272"/>
      <c r="J18" s="272"/>
    </row>
    <row r="19" spans="1:10" ht="65.25" customHeight="1">
      <c r="A19" s="1"/>
      <c r="B19" s="1"/>
      <c r="C19" s="124">
        <v>1</v>
      </c>
      <c r="D19" s="273" t="s">
        <v>32</v>
      </c>
      <c r="E19" s="107" t="str">
        <f>+_xlfn.IFERROR(INDEX(Hoja1!$E$2:$E$45,MATCH('Análisis Resultados'!C19,Hoja1!$H$2:$H$45,0)),"")</f>
        <v>Documento interno o adopción del MECI actualizado</v>
      </c>
      <c r="F19" s="108" t="str">
        <f>+_xlfn.IFERROR(VLOOKUP(C19,Hoja1!$H$2:$I$45,2,0),"")</f>
        <v>No</v>
      </c>
      <c r="G19" s="109"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19" s="125">
        <f>+IF(F19="Si",1,IF(F19="En proceso",0.5,0))</f>
        <v>0</v>
      </c>
      <c r="J19" s="255">
        <f>+AVERAGE(I19:I30)</f>
        <v>0.7916666666666666</v>
      </c>
    </row>
    <row r="20" spans="1:10" ht="45">
      <c r="A20" s="1"/>
      <c r="B20" s="1"/>
      <c r="C20" s="124">
        <v>2</v>
      </c>
      <c r="D20" s="274"/>
      <c r="E20" s="110" t="str">
        <f>+_xlfn.IFERROR(INDEX(Hoja1!$E$2:$E$45,MATCH('Análisis Resultados'!C20,Hoja1!$H$2:$H$45,0)),"")</f>
        <v>Procesos de desvinculación de servidores de acuerdo con lo previsto en la Constitución Política y las leyes</v>
      </c>
      <c r="F20" s="111" t="str">
        <f>+_xlfn.IFERROR(VLOOKUP(C20,Hoja1!$H$2:$I$45,2,0),"")</f>
        <v>No</v>
      </c>
      <c r="G20" s="112" t="str">
        <f aca="true" t="shared" si="0" ref="G20:G62">+IF(F20="Si","Existe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20" s="126">
        <f aca="true" t="shared" si="1" ref="I20:I62">+IF(F20="Si",1,IF(F20="En proceso",0.5,0))</f>
        <v>0</v>
      </c>
      <c r="J20" s="256"/>
    </row>
    <row r="21" spans="1:10" ht="42.75">
      <c r="A21" s="1"/>
      <c r="B21" s="1"/>
      <c r="C21" s="124">
        <v>3</v>
      </c>
      <c r="D21" s="274"/>
      <c r="E21" s="110" t="str">
        <f>+_xlfn.IFERROR(INDEX(Hoja1!$E$2:$E$45,MATCH('Análisis Resultados'!C21,Hoja1!$H$2:$H$45,0)),"")</f>
        <v>Procesos de inducción, capacitación y bienestar social para sus servidores públicos, de manera directa o en asociación con otras entidades municipales</v>
      </c>
      <c r="F21" s="111" t="str">
        <f>+_xlfn.IFERROR(VLOOKUP(C21,Hoja1!$H$2:$I$45,2,0),"")</f>
        <v>En proceso</v>
      </c>
      <c r="G21" s="112" t="str">
        <f t="shared" si="0"/>
        <v>Se encuentra en proceso, pero requiere continuar con acciones dirigidas a contar con dicho aspecto de control.</v>
      </c>
      <c r="I21" s="126">
        <f t="shared" si="1"/>
        <v>0.5</v>
      </c>
      <c r="J21" s="256"/>
    </row>
    <row r="22" spans="1:10" ht="56.25" customHeight="1">
      <c r="A22" s="1"/>
      <c r="B22" s="1"/>
      <c r="C22" s="124">
        <v>4</v>
      </c>
      <c r="D22" s="274"/>
      <c r="E22" s="110" t="str">
        <f>+_xlfn.IFERROR(INDEX(Hoja1!$E$2:$E$45,MATCH('Análisis Resultados'!C22,Hoja1!$H$2:$H$45,0)),"")</f>
        <v>Un documento tal como un código de ética, integridad u otro que formalice los estándares de conducta, los principios institucionales o los valores del servicio público</v>
      </c>
      <c r="F22" s="111" t="str">
        <f>+_xlfn.IFERROR(VLOOKUP(C22,Hoja1!$H$2:$I$45,2,0),"")</f>
        <v>Si</v>
      </c>
      <c r="G22" s="112" t="str">
        <f t="shared" si="0"/>
        <v>Existe requerimiento pero se requiere actividades  dirigidas a su mantenimiento dentro del marco de las lineas de defensa.</v>
      </c>
      <c r="I22" s="126">
        <f t="shared" si="1"/>
        <v>1</v>
      </c>
      <c r="J22" s="256"/>
    </row>
    <row r="23" spans="1:10" ht="45">
      <c r="A23" s="1"/>
      <c r="B23" s="1"/>
      <c r="C23" s="124">
        <v>5</v>
      </c>
      <c r="D23" s="274"/>
      <c r="E23" s="110" t="str">
        <f>+_xlfn.IFERROR(INDEX(Hoja1!$E$2:$E$45,MATCH('Análisis Resultados'!C23,Hoja1!$H$2:$H$45,0)),"")</f>
        <v>Planes, programas y proyectos de acuerdo con las normas que rigen y atendiendo con su propósito fundamental institucional (misión)</v>
      </c>
      <c r="F23" s="111" t="str">
        <f>+_xlfn.IFERROR(VLOOKUP(C23,Hoja1!$H$2:$I$45,2,0),"")</f>
        <v>Si</v>
      </c>
      <c r="G23" s="112" t="str">
        <f t="shared" si="0"/>
        <v>Existe requerimiento pero se requiere actividades  dirigidas a su mantenimiento dentro del marco de las lineas de defensa.</v>
      </c>
      <c r="I23" s="126">
        <f t="shared" si="1"/>
        <v>1</v>
      </c>
      <c r="J23" s="256"/>
    </row>
    <row r="24" spans="1:10" ht="45">
      <c r="A24" s="1"/>
      <c r="B24" s="1"/>
      <c r="C24" s="124">
        <v>6</v>
      </c>
      <c r="D24" s="274"/>
      <c r="E24" s="110" t="str">
        <f>+_xlfn.IFERROR(INDEX(Hoja1!$E$2:$E$45,MATCH('Análisis Resultados'!C24,Hoja1!$H$2:$H$45,0)),"")</f>
        <v>Una estructura organizacional formalizada (organigrama)</v>
      </c>
      <c r="F24" s="111" t="str">
        <f>+_xlfn.IFERROR(VLOOKUP(C24,Hoja1!$H$2:$I$45,2,0),"")</f>
        <v>Si</v>
      </c>
      <c r="G24" s="112" t="str">
        <f t="shared" si="0"/>
        <v>Existe requerimiento pero se requiere actividades  dirigidas a su mantenimiento dentro del marco de las lineas de defensa.</v>
      </c>
      <c r="I24" s="126">
        <f t="shared" si="1"/>
        <v>1</v>
      </c>
      <c r="J24" s="256"/>
    </row>
    <row r="25" spans="1:10" ht="45">
      <c r="A25" s="1"/>
      <c r="B25" s="1"/>
      <c r="C25" s="124">
        <v>7</v>
      </c>
      <c r="D25" s="274"/>
      <c r="E25" s="110" t="str">
        <f>+_xlfn.IFERROR(INDEX(Hoja1!$E$2:$E$45,MATCH('Análisis Resultados'!C25,Hoja1!$H$2:$H$45,0)),"")</f>
        <v>Un manual de funciones que describa los empleos de la entidad</v>
      </c>
      <c r="F25" s="111" t="str">
        <f>+_xlfn.IFERROR(VLOOKUP(C25,Hoja1!$H$2:$I$45,2,0),"")</f>
        <v>Si</v>
      </c>
      <c r="G25" s="112" t="str">
        <f t="shared" si="0"/>
        <v>Existe requerimiento pero se requiere actividades  dirigidas a su mantenimiento dentro del marco de las lineas de defensa.</v>
      </c>
      <c r="I25" s="126">
        <f t="shared" si="1"/>
        <v>1</v>
      </c>
      <c r="J25" s="256"/>
    </row>
    <row r="26" spans="1:10" ht="45">
      <c r="A26" s="1"/>
      <c r="B26" s="1"/>
      <c r="C26" s="124">
        <v>8</v>
      </c>
      <c r="D26" s="274"/>
      <c r="E26" s="110" t="str">
        <f>+_xlfn.IFERROR(INDEX(Hoja1!$E$2:$E$45,MATCH('Análisis Resultados'!C26,Hoja1!$H$2:$H$45,0)),"")</f>
        <v>La documentación de sus procesos y procedimientos o bien una lista de actividades principales que permitan conocer el estado de su gestión</v>
      </c>
      <c r="F26" s="111" t="str">
        <f>+_xlfn.IFERROR(VLOOKUP(C26,Hoja1!$H$2:$I$45,2,0),"")</f>
        <v>Si</v>
      </c>
      <c r="G26" s="112" t="str">
        <f t="shared" si="0"/>
        <v>Existe requerimiento pero se requiere actividades  dirigidas a su mantenimiento dentro del marco de las lineas de defensa.</v>
      </c>
      <c r="I26" s="126">
        <f t="shared" si="1"/>
        <v>1</v>
      </c>
      <c r="J26" s="256"/>
    </row>
    <row r="27" spans="1:10" ht="45">
      <c r="A27" s="1"/>
      <c r="B27" s="1"/>
      <c r="C27" s="124">
        <v>9</v>
      </c>
      <c r="D27" s="274"/>
      <c r="E27" s="110" t="str">
        <f>+_xlfn.IFERROR(INDEX(Hoja1!$E$2:$E$45,MATCH('Análisis Resultados'!C27,Hoja1!$H$2:$H$45,0)),"")</f>
        <v>Vinculación de los servidores públicos de acuerdo con el marco normativo que les rige (carrera administrativa, libre nombramiento y remoción, entre otros)</v>
      </c>
      <c r="F27" s="111" t="str">
        <f>+_xlfn.IFERROR(VLOOKUP(C27,Hoja1!$H$2:$I$45,2,0),"")</f>
        <v>Si</v>
      </c>
      <c r="G27" s="112" t="str">
        <f t="shared" si="0"/>
        <v>Existe requerimiento pero se requiere actividades  dirigidas a su mantenimiento dentro del marco de las lineas de defensa.</v>
      </c>
      <c r="I27" s="126">
        <f t="shared" si="1"/>
        <v>1</v>
      </c>
      <c r="J27" s="256"/>
    </row>
    <row r="28" spans="1:10" ht="45">
      <c r="A28" s="1"/>
      <c r="B28" s="1"/>
      <c r="C28" s="124">
        <v>10</v>
      </c>
      <c r="D28" s="274"/>
      <c r="E28" s="110" t="str">
        <f>+_xlfn.IFERROR(INDEX(Hoja1!$E$2:$E$45,MATCH('Análisis Resultados'!C28,Hoja1!$H$2:$H$45,0)),"")</f>
        <v>Evaluación a los servidores públicos de acuerdo con el marco normativo que le rige</v>
      </c>
      <c r="F28" s="111" t="str">
        <f>+_xlfn.IFERROR(VLOOKUP(C28,Hoja1!$H$2:$I$45,2,0),"")</f>
        <v>Si</v>
      </c>
      <c r="G28" s="112" t="str">
        <f t="shared" si="0"/>
        <v>Existe requerimiento pero se requiere actividades  dirigidas a su mantenimiento dentro del marco de las lineas de defensa.</v>
      </c>
      <c r="I28" s="126">
        <f t="shared" si="1"/>
        <v>1</v>
      </c>
      <c r="J28" s="256"/>
    </row>
    <row r="29" spans="1:10" ht="45">
      <c r="A29" s="1"/>
      <c r="B29" s="1"/>
      <c r="C29" s="124">
        <v>11</v>
      </c>
      <c r="D29" s="274"/>
      <c r="E29" s="110" t="str">
        <f>+_xlfn.IFERROR(INDEX(Hoja1!$E$2:$E$45,MATCH('Análisis Resultados'!C29,Hoja1!$H$2:$H$45,0)),"")</f>
        <v>Mecanismos de rendición de cuentas a la ciudadanía</v>
      </c>
      <c r="F29" s="111" t="str">
        <f>+_xlfn.IFERROR(VLOOKUP(C29,Hoja1!$H$2:$I$45,2,0),"")</f>
        <v>Si</v>
      </c>
      <c r="G29" s="112"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26">
        <f t="shared" si="1"/>
        <v>1</v>
      </c>
      <c r="J29" s="256"/>
    </row>
    <row r="30" spans="1:10" ht="45.75" thickBot="1">
      <c r="A30" s="1"/>
      <c r="B30" s="1"/>
      <c r="C30" s="124">
        <v>12</v>
      </c>
      <c r="D30" s="275"/>
      <c r="E30" s="113" t="str">
        <f>+_xlfn.IFERROR(INDEX(Hoja1!$E$2:$E$45,MATCH('Análisis Resultados'!C30,Hoja1!$H$2:$H$45,0)),"")</f>
        <v>Presentación oportuna de sus informes de gestión a las autoridades competentes</v>
      </c>
      <c r="F30" s="114" t="str">
        <f>+_xlfn.IFERROR(VLOOKUP(C30,Hoja1!$H$2:$I$45,2,0),"")</f>
        <v>Si</v>
      </c>
      <c r="G30" s="115" t="str">
        <f t="shared" si="0"/>
        <v>Existe requerimiento pero se requiere actividades  dirigidas a su mantenimiento dentro del marco de las lineas de defensa.</v>
      </c>
      <c r="I30" s="127">
        <f t="shared" si="1"/>
        <v>1</v>
      </c>
      <c r="J30" s="257"/>
    </row>
    <row r="31" spans="1:10" ht="45" customHeight="1">
      <c r="A31" s="1"/>
      <c r="B31" s="1"/>
      <c r="C31" s="124">
        <v>13</v>
      </c>
      <c r="D31" s="269" t="s">
        <v>68</v>
      </c>
      <c r="E31" s="107" t="str">
        <f>+_xlfn.IFERROR(INDEX(Hoja1!$E$2:$E$45,MATCH('Análisis Resultados'!C31,Hoja1!$H$2:$H$45,0)),"")</f>
        <v>La identificación de cambios en su entorno que pueden generar consecuencias negativas en su gestión</v>
      </c>
      <c r="F31" s="108" t="str">
        <f>+_xlfn.IFERROR(VLOOKUP(C31,Hoja1!$H$2:$I$45,2,0),"")</f>
        <v>En proceso</v>
      </c>
      <c r="G31" s="109" t="str">
        <f t="shared" si="0"/>
        <v>Se encuentra en proceso, pero requiere continuar con acciones dirigidas a contar con dicho aspecto de control.</v>
      </c>
      <c r="I31" s="125">
        <f t="shared" si="1"/>
        <v>0.5</v>
      </c>
      <c r="J31" s="253">
        <f>+AVERAGE(I31:I40)</f>
        <v>0.95</v>
      </c>
    </row>
    <row r="32" spans="1:10" ht="57" customHeight="1">
      <c r="A32" s="1"/>
      <c r="B32" s="1"/>
      <c r="C32" s="124">
        <v>14</v>
      </c>
      <c r="D32" s="270"/>
      <c r="E32" s="110" t="str">
        <f>+_xlfn.IFERROR(INDEX(Hoja1!$E$2:$E$45,MATCH('Análisis Resultados'!C32,Hoja1!$H$2:$H$45,0)),"")</f>
        <v>La identificación de aquellos problemas o aspectos que pueden afectar el cumplimiento de los planes de la entidad y en general su gestión institucional (riesgos)</v>
      </c>
      <c r="F32" s="111" t="str">
        <f>+_xlfn.IFERROR(VLOOKUP(C32,Hoja1!$H$2:$I$45,2,0),"")</f>
        <v>Si</v>
      </c>
      <c r="G32" s="112" t="str">
        <f t="shared" si="0"/>
        <v>Existe requerimiento pero se requiere actividades  dirigidas a su mantenimiento dentro del marco de las lineas de defensa.</v>
      </c>
      <c r="I32" s="126">
        <f t="shared" si="1"/>
        <v>1</v>
      </c>
      <c r="J32" s="254"/>
    </row>
    <row r="33" spans="1:10" ht="54" customHeight="1">
      <c r="A33" s="1"/>
      <c r="B33" s="1"/>
      <c r="C33" s="124">
        <v>15</v>
      </c>
      <c r="D33" s="270"/>
      <c r="E33" s="110" t="str">
        <f>+_xlfn.IFERROR(INDEX(Hoja1!$E$2:$E$45,MATCH('Análisis Resultados'!C33,Hoja1!$H$2:$H$45,0)),"")</f>
        <v>La identificación  de los riesgos relacionados con posibles actos de corrupción en el ejercicio de sus funciones</v>
      </c>
      <c r="F33" s="111" t="str">
        <f>+_xlfn.IFERROR(VLOOKUP(C33,Hoja1!$H$2:$I$45,2,0),"")</f>
        <v>Si</v>
      </c>
      <c r="G33" s="112" t="str">
        <f t="shared" si="0"/>
        <v>Existe requerimiento pero se requiere actividades  dirigidas a su mantenimiento dentro del marco de las lineas de defensa.</v>
      </c>
      <c r="I33" s="126">
        <f t="shared" si="1"/>
        <v>1</v>
      </c>
      <c r="J33" s="254"/>
    </row>
    <row r="34" spans="1:10" ht="45">
      <c r="A34" s="1"/>
      <c r="B34" s="1"/>
      <c r="C34" s="124">
        <v>16</v>
      </c>
      <c r="D34" s="270"/>
      <c r="E34" s="110" t="str">
        <f>+_xlfn.IFERROR(INDEX(Hoja1!$E$2:$E$45,MATCH('Análisis Resultados'!C34,Hoja1!$H$2:$H$45,0)),"")</f>
        <v>Si su capacidad e infraestructura lo permite, identificación de riesgos asociados a las tecnologías de la información y las comunicaciones</v>
      </c>
      <c r="F34" s="111" t="str">
        <f>+_xlfn.IFERROR(VLOOKUP(C34,Hoja1!$H$2:$I$45,2,0),"")</f>
        <v>Si</v>
      </c>
      <c r="G34" s="112" t="str">
        <f t="shared" si="0"/>
        <v>Existe requerimiento pero se requiere actividades  dirigidas a su mantenimiento dentro del marco de las lineas de defensa.</v>
      </c>
      <c r="I34" s="126">
        <f t="shared" si="1"/>
        <v>1</v>
      </c>
      <c r="J34" s="254"/>
    </row>
    <row r="35" spans="1:10" ht="67.5" customHeight="1">
      <c r="A35" s="1"/>
      <c r="B35" s="1"/>
      <c r="C35" s="124">
        <v>17</v>
      </c>
      <c r="D35" s="270"/>
      <c r="E35" s="110" t="str">
        <f>+_xlfn.IFERROR(INDEX(Hoja1!$E$2:$E$45,MATCH('Análisis Resultados'!C35,Hoja1!$H$2:$H$45,0)),"")</f>
        <v>Hacen seguimiento a los problemas (riesgos)  que pueden afectar el cumplimiento de sus procesos, programas o proyectos a cargo</v>
      </c>
      <c r="F35" s="111" t="str">
        <f>+_xlfn.IFERROR(VLOOKUP(C35,Hoja1!$H$2:$I$45,2,0),"")</f>
        <v>Si</v>
      </c>
      <c r="G35" s="112" t="str">
        <f t="shared" si="0"/>
        <v>Existe requerimiento pero se requiere actividades  dirigidas a su mantenimiento dentro del marco de las lineas de defensa.</v>
      </c>
      <c r="I35" s="126">
        <f t="shared" si="1"/>
        <v>1</v>
      </c>
      <c r="J35" s="254"/>
    </row>
    <row r="36" spans="1:10" ht="45">
      <c r="A36" s="1"/>
      <c r="B36" s="1"/>
      <c r="C36" s="124">
        <v>18</v>
      </c>
      <c r="D36" s="270"/>
      <c r="E36" s="110" t="str">
        <f>+_xlfn.IFERROR(INDEX(Hoja1!$E$2:$E$45,MATCH('Análisis Resultados'!C36,Hoja1!$H$2:$H$45,0)),"")</f>
        <v>Informan de manera periódica a quien corresponda sobre el desempeño de las actividades de gestión de riesgos</v>
      </c>
      <c r="F36" s="111" t="str">
        <f>+_xlfn.IFERROR(VLOOKUP(C36,Hoja1!$H$2:$I$45,2,0),"")</f>
        <v>Si</v>
      </c>
      <c r="G36" s="112" t="str">
        <f t="shared" si="0"/>
        <v>Existe requerimiento pero se requiere actividades  dirigidas a su mantenimiento dentro del marco de las lineas de defensa.</v>
      </c>
      <c r="I36" s="126">
        <f t="shared" si="1"/>
        <v>1</v>
      </c>
      <c r="J36" s="254"/>
    </row>
    <row r="37" spans="1:10" ht="57" customHeight="1">
      <c r="A37" s="1"/>
      <c r="B37" s="1"/>
      <c r="C37" s="124">
        <v>19</v>
      </c>
      <c r="D37" s="270"/>
      <c r="E37" s="110" t="str">
        <f>+_xlfn.IFERROR(INDEX(Hoja1!$E$2:$E$45,MATCH('Análisis Resultados'!C37,Hoja1!$H$2:$H$45,0)),"")</f>
        <v>Identifican deficiencias en las maneras de  controlar los riesgos o problemas en sus procesos, programas o proyectos, y propone los ajustes necesarios</v>
      </c>
      <c r="F37" s="111" t="str">
        <f>+_xlfn.IFERROR(VLOOKUP(C37,Hoja1!$H$2:$I$45,2,0),"")</f>
        <v>Si</v>
      </c>
      <c r="G37" s="112" t="str">
        <f t="shared" si="0"/>
        <v>Existe requerimiento pero se requiere actividades  dirigidas a su mantenimiento dentro del marco de las lineas de defensa.</v>
      </c>
      <c r="I37" s="126">
        <f t="shared" si="1"/>
        <v>1</v>
      </c>
      <c r="J37" s="254"/>
    </row>
    <row r="38" spans="1:10" ht="45">
      <c r="A38" s="1"/>
      <c r="B38" s="1"/>
      <c r="C38" s="124">
        <v>20</v>
      </c>
      <c r="D38" s="270"/>
      <c r="E38" s="110" t="str">
        <f>+_xlfn.IFERROR(INDEX(Hoja1!$E$2:$E$45,MATCH('Análisis Resultados'!C38,Hoja1!$H$2:$H$45,0)),"")</f>
        <v>Se definen espacios de reunión para conocerlos y proponer acciones para su solución</v>
      </c>
      <c r="F38" s="111" t="str">
        <f>+_xlfn.IFERROR(VLOOKUP(C38,Hoja1!$H$2:$I$45,2,0),"")</f>
        <v>Si</v>
      </c>
      <c r="G38" s="112" t="str">
        <f t="shared" si="0"/>
        <v>Existe requerimiento pero se requiere actividades  dirigidas a su mantenimiento dentro del marco de las lineas de defensa.</v>
      </c>
      <c r="I38" s="126">
        <f t="shared" si="1"/>
        <v>1</v>
      </c>
      <c r="J38" s="254"/>
    </row>
    <row r="39" spans="1:10" ht="45">
      <c r="A39" s="1"/>
      <c r="B39" s="1"/>
      <c r="C39" s="124">
        <v>21</v>
      </c>
      <c r="D39" s="270"/>
      <c r="E39" s="110" t="str">
        <f>+_xlfn.IFERROR(INDEX(Hoja1!$E$2:$E$45,MATCH('Análisis Resultados'!C39,Hoja1!$H$2:$H$45,0)),"")</f>
        <v>Cada líder del equipo autónomamente toma las acciones para solucionarlos.</v>
      </c>
      <c r="F39" s="111" t="str">
        <f>+_xlfn.IFERROR(VLOOKUP(C39,Hoja1!$H$2:$I$45,2,0),"")</f>
        <v>Si</v>
      </c>
      <c r="G39" s="112" t="str">
        <f t="shared" si="0"/>
        <v>Existe requerimiento pero se requiere actividades  dirigidas a su mantenimiento dentro del marco de las lineas de defensa.</v>
      </c>
      <c r="I39" s="126">
        <f t="shared" si="1"/>
        <v>1</v>
      </c>
      <c r="J39" s="254"/>
    </row>
    <row r="40" spans="1:10" ht="45.75" thickBot="1">
      <c r="A40" s="1"/>
      <c r="B40" s="1"/>
      <c r="C40" s="124">
        <v>22</v>
      </c>
      <c r="D40" s="270"/>
      <c r="E40" s="116" t="str">
        <f>+_xlfn.IFERROR(INDEX(Hoja1!$E$2:$E$45,MATCH('Análisis Resultados'!C40,Hoja1!$H$2:$H$45,0)),"")</f>
        <v>Solamente hasta que un organismo de control actúa se definen acciones de mejora.</v>
      </c>
      <c r="F40" s="117" t="str">
        <f>+_xlfn.IFERROR(VLOOKUP(C40,Hoja1!$H$2:$I$45,2,0),"")</f>
        <v>Si</v>
      </c>
      <c r="G40" s="118" t="str">
        <f t="shared" si="0"/>
        <v>Existe requerimiento pero se requiere actividades  dirigidas a su mantenimiento dentro del marco de las lineas de defensa.</v>
      </c>
      <c r="I40" s="128">
        <f t="shared" si="1"/>
        <v>1</v>
      </c>
      <c r="J40" s="254"/>
    </row>
    <row r="41" spans="1:10" ht="87.75" customHeight="1">
      <c r="A41" s="1"/>
      <c r="B41" s="1"/>
      <c r="C41" s="124">
        <v>23</v>
      </c>
      <c r="D41" s="265" t="s">
        <v>87</v>
      </c>
      <c r="E41" s="107" t="str">
        <f>+_xlfn.IFERROR(INDEX(Hoja1!$E$2:$E$45,MATCH('Análisis Resultados'!C41,Hoja1!$H$2:$H$45,0)),"")</f>
        <v>Mecanismos de verificación de si se están o no mitigando los riesgos, o en su defecto, elaboración de planes de contingencia para subsanar sus consecuencias</v>
      </c>
      <c r="F41" s="108" t="str">
        <f>+_xlfn.IFERROR(VLOOKUP(C41,Hoja1!$H$2:$I$45,2,0),"")</f>
        <v>En proceso</v>
      </c>
      <c r="G41" s="109" t="str">
        <f t="shared" si="0"/>
        <v>Se encuentra en proceso, pero requiere continuar con acciones dirigidas a contar con dicho aspecto de control.</v>
      </c>
      <c r="I41" s="125">
        <f t="shared" si="1"/>
        <v>0.5</v>
      </c>
      <c r="J41" s="253">
        <f>+AVERAGE(I41:I45)</f>
        <v>0.8</v>
      </c>
    </row>
    <row r="42" spans="1:10" ht="42.75">
      <c r="A42" s="1"/>
      <c r="B42" s="1"/>
      <c r="C42" s="124">
        <v>24</v>
      </c>
      <c r="D42" s="266"/>
      <c r="E42" s="110" t="str">
        <f>+_xlfn.IFERROR(INDEX(Hoja1!$E$2:$E$45,MATCH('Análisis Resultados'!C42,Hoja1!$H$2:$H$45,0)),"")</f>
        <v>Planes, acciones o estrategias que permitan subsanar las consecuencias de la materialización de los riesgos, cuando se presentan</v>
      </c>
      <c r="F42" s="111" t="str">
        <f>+_xlfn.IFERROR(VLOOKUP(C42,Hoja1!$H$2:$I$45,2,0),"")</f>
        <v>En proceso</v>
      </c>
      <c r="G42" s="112" t="str">
        <f t="shared" si="0"/>
        <v>Se encuentra en proceso, pero requiere continuar con acciones dirigidas a contar con dicho aspecto de control.</v>
      </c>
      <c r="I42" s="126">
        <f t="shared" si="1"/>
        <v>0.5</v>
      </c>
      <c r="J42" s="254"/>
    </row>
    <row r="43" spans="1:10" ht="85.5" customHeight="1">
      <c r="A43" s="1"/>
      <c r="B43" s="1"/>
      <c r="C43" s="124">
        <v>25</v>
      </c>
      <c r="D43" s="266"/>
      <c r="E43" s="110" t="str">
        <f>+_xlfn.IFERROR(INDEX(Hoja1!$E$2:$E$45,MATCH('Análisis Resultados'!C43,Hoja1!$H$2:$H$45,0)),"")</f>
        <v>La definición de acciones o actividades para para dar tratamiento a los problemas identificados (mitigación de riesgos), incluyendo aquellos asociados a posibles actos de corrupción</v>
      </c>
      <c r="F43" s="111" t="str">
        <f>+_xlfn.IFERROR(VLOOKUP(C43,Hoja1!$H$2:$I$45,2,0),"")</f>
        <v>Si</v>
      </c>
      <c r="G43" s="112" t="str">
        <f t="shared" si="0"/>
        <v>Existe requerimiento pero se requiere actividades  dirigidas a su mantenimiento dentro del marco de las lineas de defensa.</v>
      </c>
      <c r="I43" s="126">
        <f t="shared" si="1"/>
        <v>1</v>
      </c>
      <c r="J43" s="254"/>
    </row>
    <row r="44" spans="1:10" ht="57" customHeight="1">
      <c r="A44" s="1"/>
      <c r="B44" s="1"/>
      <c r="C44" s="124">
        <v>26</v>
      </c>
      <c r="D44" s="266"/>
      <c r="E44" s="110" t="str">
        <f>+_xlfn.IFERROR(INDEX(Hoja1!$E$2:$E$45,MATCH('Análisis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1" t="str">
        <f>+_xlfn.IFERROR(VLOOKUP(C44,Hoja1!$H$2:$I$45,2,0),"")</f>
        <v>Si</v>
      </c>
      <c r="G44" s="112" t="str">
        <f t="shared" si="0"/>
        <v>Existe requerimiento pero se requiere actividades  dirigidas a su mantenimiento dentro del marco de las lineas de defensa.</v>
      </c>
      <c r="I44" s="126">
        <f t="shared" si="1"/>
        <v>1</v>
      </c>
      <c r="J44" s="254"/>
    </row>
    <row r="45" spans="1:10" ht="57" customHeight="1" thickBot="1">
      <c r="A45" s="1"/>
      <c r="B45" s="1"/>
      <c r="C45" s="124">
        <v>27</v>
      </c>
      <c r="D45" s="267"/>
      <c r="E45" s="113" t="str">
        <f>+_xlfn.IFERROR(INDEX(Hoja1!$E$2:$E$45,MATCH('Análisis Resultados'!C45,Hoja1!$H$2:$H$45,0)),"")</f>
        <v>Un plan anticorrupción y de servicio al ciudadano con los temas que le aplican, publicado en algún medio para conocimiento de la ciudadanía</v>
      </c>
      <c r="F45" s="114" t="str">
        <f>+_xlfn.IFERROR(VLOOKUP(C45,Hoja1!$H$2:$I$45,2,0),"")</f>
        <v>Si</v>
      </c>
      <c r="G45" s="115" t="str">
        <f t="shared" si="0"/>
        <v>Existe requerimiento pero se requiere actividades  dirigidas a su mantenimiento dentro del marco de las lineas de defensa.</v>
      </c>
      <c r="I45" s="127">
        <f t="shared" si="1"/>
        <v>1</v>
      </c>
      <c r="J45" s="268"/>
    </row>
    <row r="46" spans="1:10" ht="63.75" customHeight="1">
      <c r="A46" s="1"/>
      <c r="B46" s="1"/>
      <c r="C46" s="124">
        <v>28</v>
      </c>
      <c r="D46" s="264" t="s">
        <v>96</v>
      </c>
      <c r="E46" s="119" t="str">
        <f>+_xlfn.IFERROR(INDEX(Hoja1!$E$2:$E$45,MATCH('Análisis Resultados'!C46,Hoja1!$H$2:$H$45,0)),"")</f>
        <v>Lineamientos para dar tratamiento a la información de carácter reservado </v>
      </c>
      <c r="F46" s="120" t="str">
        <f>+_xlfn.IFERROR(VLOOKUP(C46,Hoja1!$H$2:$I$45,2,0),"")</f>
        <v>No</v>
      </c>
      <c r="G46" s="121" t="str">
        <f t="shared" si="0"/>
        <v>No se encuentra el aspecto  por lo tanto la entidad debera generar acciones dirigidas a que se cumpla con el requerimiento.</v>
      </c>
      <c r="I46" s="129">
        <f t="shared" si="1"/>
        <v>0</v>
      </c>
      <c r="J46" s="254">
        <f>+AVERAGE(I46:I52)</f>
        <v>0.7142857142857143</v>
      </c>
    </row>
    <row r="47" spans="1:10" ht="92.25" customHeight="1">
      <c r="A47" s="1"/>
      <c r="B47" s="1"/>
      <c r="C47" s="124">
        <v>29</v>
      </c>
      <c r="D47" s="264"/>
      <c r="E47" s="110" t="str">
        <f>+_xlfn.IFERROR(INDEX(Hoja1!$E$2:$E$45,MATCH('Análisis Resultados'!C47,Hoja1!$H$2:$H$45,0)),"")</f>
        <v>Identificación de información que produce en el marco de su gestión (Para los ciudadanos, organismos de control, organismos gubernamentales, entre otros)</v>
      </c>
      <c r="F47" s="111" t="str">
        <f>+_xlfn.IFERROR(VLOOKUP(C47,Hoja1!$H$2:$I$45,2,0),"")</f>
        <v>En proceso</v>
      </c>
      <c r="G47" s="122" t="str">
        <f t="shared" si="0"/>
        <v>Se encuentra en proceso, pero requiere continuar con acciones dirigidas a contar con dicho aspecto de control.</v>
      </c>
      <c r="I47" s="130">
        <f t="shared" si="1"/>
        <v>0.5</v>
      </c>
      <c r="J47" s="254"/>
    </row>
    <row r="48" spans="1:10" ht="66.75" customHeight="1">
      <c r="A48" s="1"/>
      <c r="B48" s="1"/>
      <c r="C48" s="124">
        <v>30</v>
      </c>
      <c r="D48" s="264"/>
      <c r="E48" s="110" t="str">
        <f>+_xlfn.IFERROR(INDEX(Hoja1!$E$2:$E$45,MATCH('Análisis Resultados'!C48,Hoja1!$H$2:$H$45,0)),"")</f>
        <v>Identificación de información necesaria para la operación de la entidad (normograma, presupuesto, talento humano, infraestructura física y tecnológica)</v>
      </c>
      <c r="F48" s="111" t="str">
        <f>+_xlfn.IFERROR(VLOOKUP(C48,Hoja1!$H$2:$I$45,2,0),"")</f>
        <v>En proceso</v>
      </c>
      <c r="G48" s="122" t="str">
        <f t="shared" si="0"/>
        <v>Se encuentra en proceso, pero requiere continuar con acciones dirigidas a contar con dicho aspecto de control.</v>
      </c>
      <c r="I48" s="130">
        <f t="shared" si="1"/>
        <v>0.5</v>
      </c>
      <c r="J48" s="254"/>
    </row>
    <row r="49" spans="1:10" ht="60" customHeight="1">
      <c r="A49" s="1"/>
      <c r="B49" s="1"/>
      <c r="C49" s="124">
        <v>31</v>
      </c>
      <c r="D49" s="264"/>
      <c r="E49" s="110" t="str">
        <f>+_xlfn.IFERROR(INDEX(Hoja1!$E$2:$E$45,MATCH('Análisis Resultados'!C49,Hoja1!$H$2:$H$45,0)),"")</f>
        <v>Responsables de la información institucional</v>
      </c>
      <c r="F49" s="111" t="str">
        <f>+_xlfn.IFERROR(VLOOKUP(C49,Hoja1!$H$2:$I$45,2,0),"")</f>
        <v>Si</v>
      </c>
      <c r="G49" s="122" t="str">
        <f t="shared" si="0"/>
        <v>Existe requerimiento pero se requiere actividades  dirigidas a su mantenimiento dentro del marco de las lineas de defensa.</v>
      </c>
      <c r="I49" s="130">
        <f t="shared" si="1"/>
        <v>1</v>
      </c>
      <c r="J49" s="254"/>
    </row>
    <row r="50" spans="1:10" ht="57" customHeight="1">
      <c r="A50" s="1"/>
      <c r="B50" s="1"/>
      <c r="C50" s="124">
        <v>32</v>
      </c>
      <c r="D50" s="264"/>
      <c r="E50" s="110" t="str">
        <f>+_xlfn.IFERROR(INDEX(Hoja1!$E$2:$E$45,MATCH('Análisis Resultados'!C50,Hoja1!$H$2:$H$45,0)),"")</f>
        <v>Canales de comunicación con los ciudadanos</v>
      </c>
      <c r="F50" s="111" t="str">
        <f>+_xlfn.IFERROR(VLOOKUP(C50,Hoja1!$H$2:$I$45,2,0),"")</f>
        <v>Si</v>
      </c>
      <c r="G50" s="122" t="str">
        <f t="shared" si="0"/>
        <v>Existe requerimiento pero se requiere actividades  dirigidas a su mantenimiento dentro del marco de las lineas de defensa.</v>
      </c>
      <c r="I50" s="130">
        <f t="shared" si="1"/>
        <v>1</v>
      </c>
      <c r="J50" s="254"/>
    </row>
    <row r="51" spans="1:10" ht="57" customHeight="1">
      <c r="A51" s="1"/>
      <c r="B51" s="1"/>
      <c r="C51" s="124">
        <v>33</v>
      </c>
      <c r="D51" s="264"/>
      <c r="E51" s="110" t="str">
        <f>+_xlfn.IFERROR(INDEX(Hoja1!$E$2:$E$45,MATCH('Análisis Resultados'!C51,Hoja1!$H$2:$H$45,0)),"")</f>
        <v>Canales de comunicación o mecanismos de reporte de información a otros organismos gubernamentales o de control</v>
      </c>
      <c r="F51" s="111" t="str">
        <f>+_xlfn.IFERROR(VLOOKUP(C51,Hoja1!$H$2:$I$45,2,0),"")</f>
        <v>Si</v>
      </c>
      <c r="G51" s="122" t="str">
        <f t="shared" si="0"/>
        <v>Existe requerimiento pero se requiere actividades  dirigidas a su mantenimiento dentro del marco de las lineas de defensa.</v>
      </c>
      <c r="I51" s="130">
        <f t="shared" si="1"/>
        <v>1</v>
      </c>
      <c r="J51" s="254"/>
    </row>
    <row r="52" spans="1:10" ht="45.75" thickBot="1">
      <c r="A52" s="1"/>
      <c r="B52" s="1"/>
      <c r="C52" s="124">
        <v>34</v>
      </c>
      <c r="D52" s="264"/>
      <c r="E52" s="116" t="str">
        <f>+_xlfn.IFERROR(INDEX(Hoja1!$E$2:$E$45,MATCH('Análisis Resultados'!C52,Hoja1!$H$2:$H$45,0)),"")</f>
        <v>Si su capacidad e infraestructura lo permite, tecnologías de la información y las comunicaciones que soporten estos procesos</v>
      </c>
      <c r="F52" s="117" t="str">
        <f>+_xlfn.IFERROR(VLOOKUP(C52,Hoja1!$H$2:$I$45,2,0),"")</f>
        <v>Si</v>
      </c>
      <c r="G52" s="123" t="str">
        <f t="shared" si="0"/>
        <v>Existe requerimiento pero se requiere actividades  dirigidas a su mantenimiento dentro del marco de las lineas de defensa.</v>
      </c>
      <c r="I52" s="131">
        <f t="shared" si="1"/>
        <v>1</v>
      </c>
      <c r="J52" s="254"/>
    </row>
    <row r="53" spans="1:10" ht="41.25" customHeight="1">
      <c r="A53" s="1"/>
      <c r="B53" s="1"/>
      <c r="C53" s="124">
        <v>35</v>
      </c>
      <c r="D53" s="258" t="s">
        <v>113</v>
      </c>
      <c r="E53" s="107" t="str">
        <f>+_xlfn.IFERROR(INDEX(Hoja1!$E$2:$E$45,MATCH('Análisis Resultados'!C53,Hoja1!$H$2:$H$45,0)),"")</f>
        <v>Evitar que los problemas (riesgos) obstaculicen el cumplimiento de los objetivos.</v>
      </c>
      <c r="F53" s="108" t="str">
        <f>+_xlfn.IFERROR(VLOOKUP(C53,Hoja1!$H$2:$I$45,2,0),"")</f>
        <v>En proceso</v>
      </c>
      <c r="G53" s="109" t="str">
        <f t="shared" si="0"/>
        <v>Se encuentra en proceso, pero requiere continuar con acciones dirigidas a contar con dicho aspecto de control.</v>
      </c>
      <c r="I53" s="125">
        <f t="shared" si="1"/>
        <v>0.5</v>
      </c>
      <c r="J53" s="261">
        <f>+AVERAGE(I53:I62)</f>
        <v>0.8</v>
      </c>
    </row>
    <row r="54" spans="1:10" ht="58.5" customHeight="1">
      <c r="A54" s="1"/>
      <c r="B54" s="1"/>
      <c r="C54" s="124">
        <v>36</v>
      </c>
      <c r="D54" s="259"/>
      <c r="E54" s="110" t="str">
        <f>+_xlfn.IFERROR(INDEX(Hoja1!$E$2:$E$45,MATCH('Análisis Resultados'!C54,Hoja1!$H$2:$H$45,0)),"")</f>
        <v>Controlar los puntos críticos en los procesos.</v>
      </c>
      <c r="F54" s="111" t="str">
        <f>+_xlfn.IFERROR(VLOOKUP(C54,Hoja1!$H$2:$I$45,2,0),"")</f>
        <v>En proceso</v>
      </c>
      <c r="G54" s="112" t="str">
        <f t="shared" si="0"/>
        <v>Se encuentra en proceso, pero requiere continuar con acciones dirigidas a contar con dicho aspecto de control.</v>
      </c>
      <c r="I54" s="126">
        <f t="shared" si="1"/>
        <v>0.5</v>
      </c>
      <c r="J54" s="262"/>
    </row>
    <row r="55" spans="3:10" s="1" customFormat="1" ht="84.75" customHeight="1">
      <c r="C55" s="124">
        <v>37</v>
      </c>
      <c r="D55" s="259"/>
      <c r="E55" s="110" t="str">
        <f>+_xlfn.IFERROR(INDEX(Hoja1!$E$2:$E$45,MATCH('Análisis Resultados'!C55,Hoja1!$H$2:$H$45,0)),"")</f>
        <v>Diseñar acciones adecuadas para controlar los problemas que afectan el cumplimiento de las metas y objetivos institucionales (riesgos).</v>
      </c>
      <c r="F55" s="111" t="str">
        <f>+_xlfn.IFERROR(VLOOKUP(C55,Hoja1!$H$2:$I$45,2,0),"")</f>
        <v>En proceso</v>
      </c>
      <c r="G55" s="112" t="str">
        <f t="shared" si="0"/>
        <v>Se encuentra en proceso, pero requiere continuar con acciones dirigidas a contar con dicho aspecto de control.</v>
      </c>
      <c r="I55" s="126">
        <f t="shared" si="1"/>
        <v>0.5</v>
      </c>
      <c r="J55" s="262"/>
    </row>
    <row r="56" spans="3:10" s="1" customFormat="1" ht="78.75" customHeight="1">
      <c r="C56" s="124">
        <v>38</v>
      </c>
      <c r="D56" s="259"/>
      <c r="E56" s="110" t="str">
        <f>+_xlfn.IFERROR(INDEX(Hoja1!$E$2:$E$45,MATCH('Análisis Resultados'!C56,Hoja1!$H$2:$H$45,0)),"")</f>
        <v>Ejecutar las acciones de acuerdo a como se diseñaron previamente.</v>
      </c>
      <c r="F56" s="111" t="str">
        <f>+_xlfn.IFERROR(VLOOKUP(C56,Hoja1!$H$2:$I$45,2,0),"")</f>
        <v>En proceso</v>
      </c>
      <c r="G56" s="112" t="str">
        <f t="shared" si="0"/>
        <v>Se encuentra en proceso, pero requiere continuar con acciones dirigidas a contar con dicho aspecto de control.</v>
      </c>
      <c r="I56" s="126">
        <f t="shared" si="1"/>
        <v>0.5</v>
      </c>
      <c r="J56" s="262"/>
    </row>
    <row r="57" spans="3:10" s="1" customFormat="1" ht="54.75" customHeight="1">
      <c r="C57" s="124">
        <v>39</v>
      </c>
      <c r="D57" s="259"/>
      <c r="E57" s="110" t="str">
        <f>+_xlfn.IFERROR(INDEX(Hoja1!$E$2:$E$45,MATCH('Análisis Resultados'!C57,Hoja1!$H$2:$H$45,0)),"")</f>
        <v>Mecanismos de evaluación de la gestión (cronogramas, indicadores, listas de chequeo u otros)</v>
      </c>
      <c r="F57" s="111" t="str">
        <f>+_xlfn.IFERROR(VLOOKUP(C57,Hoja1!$H$2:$I$45,2,0),"")</f>
        <v>Si</v>
      </c>
      <c r="G57" s="112" t="str">
        <f t="shared" si="0"/>
        <v>Existe requerimiento pero se requiere actividades  dirigidas a su mantenimiento dentro del marco de las lineas de defensa.</v>
      </c>
      <c r="I57" s="126">
        <f t="shared" si="1"/>
        <v>1</v>
      </c>
      <c r="J57" s="262"/>
    </row>
    <row r="58" spans="3:10" s="1" customFormat="1" ht="68.25" customHeight="1">
      <c r="C58" s="124">
        <v>40</v>
      </c>
      <c r="D58" s="259"/>
      <c r="E58" s="110" t="str">
        <f>+_xlfn.IFERROR(INDEX(Hoja1!$E$2:$E$45,MATCH('Análisis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11" t="str">
        <f>+_xlfn.IFERROR(VLOOKUP(C58,Hoja1!$H$2:$I$45,2,0),"")</f>
        <v>Si</v>
      </c>
      <c r="G58" s="112" t="str">
        <f t="shared" si="0"/>
        <v>Existe requerimiento pero se requiere actividades  dirigidas a su mantenimiento dentro del marco de las lineas de defensa.</v>
      </c>
      <c r="I58" s="126">
        <f t="shared" si="1"/>
        <v>1</v>
      </c>
      <c r="J58" s="262"/>
    </row>
    <row r="59" spans="3:10" s="1" customFormat="1" ht="45" customHeight="1">
      <c r="C59" s="124">
        <v>41</v>
      </c>
      <c r="D59" s="259"/>
      <c r="E59" s="110" t="str">
        <f>+_xlfn.IFERROR(INDEX(Hoja1!$E$2:$E$45,MATCH('Análisis Resultados'!C59,Hoja1!$H$2:$H$45,0)),"")</f>
        <v>Medidas correctivas en caso de detectarse deficiencias en los ejercicios de evaluación, seguimiento o auditoría</v>
      </c>
      <c r="F59" s="111" t="str">
        <f>+_xlfn.IFERROR(VLOOKUP(C59,Hoja1!$H$2:$I$45,2,0),"")</f>
        <v>Si</v>
      </c>
      <c r="G59" s="112" t="str">
        <f t="shared" si="0"/>
        <v>Existe requerimiento pero se requiere actividades  dirigidas a su mantenimiento dentro del marco de las lineas de defensa.</v>
      </c>
      <c r="I59" s="126">
        <f t="shared" si="1"/>
        <v>1</v>
      </c>
      <c r="J59" s="262"/>
    </row>
    <row r="60" spans="3:10" s="1" customFormat="1" ht="51.75" customHeight="1">
      <c r="C60" s="124">
        <v>42</v>
      </c>
      <c r="D60" s="259"/>
      <c r="E60" s="110" t="str">
        <f>+_xlfn.IFERROR(INDEX(Hoja1!$E$2:$E$45,MATCH('Análisis Resultados'!C60,Hoja1!$H$2:$H$45,0)),"")</f>
        <v>Seguimiento a los planes de mejoramiento suscritos con instancias de control internas o externas</v>
      </c>
      <c r="F60" s="111" t="str">
        <f>+_xlfn.IFERROR(VLOOKUP(C60,Hoja1!$H$2:$I$45,2,0),"")</f>
        <v>Si</v>
      </c>
      <c r="G60" s="112" t="str">
        <f t="shared" si="0"/>
        <v>Existe requerimiento pero se requiere actividades  dirigidas a su mantenimiento dentro del marco de las lineas de defensa.</v>
      </c>
      <c r="I60" s="126">
        <f t="shared" si="1"/>
        <v>1</v>
      </c>
      <c r="J60" s="262"/>
    </row>
    <row r="61" spans="3:10" s="1" customFormat="1" ht="84" customHeight="1">
      <c r="C61" s="124">
        <v>43</v>
      </c>
      <c r="D61" s="259"/>
      <c r="E61" s="110" t="str">
        <f>+_xlfn.IFERROR(INDEX(Hoja1!$E$2:$E$45,MATCH('Análisis Resultados'!C61,Hoja1!$H$2:$H$45,0)),"")</f>
        <v>La entidad participa en el  Comité Municipal de Auditoría?</v>
      </c>
      <c r="F61" s="111" t="str">
        <f>+_xlfn.IFERROR(VLOOKUP(C61,Hoja1!$H$2:$I$45,2,0),"")</f>
        <v>Si</v>
      </c>
      <c r="G61" s="112" t="str">
        <f t="shared" si="0"/>
        <v>Existe requerimiento pero se requiere actividades  dirigidas a su mantenimiento dentro del marco de las lineas de defensa.</v>
      </c>
      <c r="I61" s="126">
        <f t="shared" si="1"/>
        <v>1</v>
      </c>
      <c r="J61" s="262"/>
    </row>
    <row r="62" spans="3:10" s="1" customFormat="1" ht="60" customHeight="1" thickBot="1">
      <c r="C62" s="124">
        <v>44</v>
      </c>
      <c r="D62" s="260"/>
      <c r="E62" s="113" t="str">
        <f>+_xlfn.IFERROR(INDEX(Hoja1!$E$2:$E$45,MATCH('Análisis Resultados'!C62,Hoja1!$H$2:$H$45,0)),"")</f>
        <v>No se gestionan los problemas que afectan el cumplimiento de las funciones y objetivos institucionales(riesgos).</v>
      </c>
      <c r="F62" s="114" t="str">
        <f>+_xlfn.IFERROR(VLOOKUP(C62,Hoja1!$H$2:$I$45,2,0),"")</f>
        <v>Si</v>
      </c>
      <c r="G62" s="115" t="str">
        <f t="shared" si="0"/>
        <v>Existe requerimiento pero se requiere actividades  dirigidas a su mantenimiento dentro del marco de las lineas de defensa.</v>
      </c>
      <c r="I62" s="127">
        <f t="shared" si="1"/>
        <v>1</v>
      </c>
      <c r="J62" s="263"/>
    </row>
    <row r="63" s="1" customFormat="1" ht="15"/>
    <row r="64" s="1" customFormat="1" ht="15"/>
    <row r="65" s="1" customFormat="1" ht="15"/>
    <row r="66" s="1" customFormat="1" ht="15"/>
    <row r="67" s="1" customFormat="1" ht="15"/>
    <row r="68" s="1" customFormat="1" ht="15"/>
    <row r="69" s="1" customFormat="1" ht="15"/>
    <row r="70" s="1" customFormat="1" ht="15"/>
    <row r="71" spans="1:2" ht="15">
      <c r="A71" s="1"/>
      <c r="B71" s="1"/>
    </row>
    <row r="72" spans="1:2" ht="15">
      <c r="A72" s="1"/>
      <c r="B72" s="1"/>
    </row>
    <row r="73" spans="1:2" ht="15">
      <c r="A73" s="1"/>
      <c r="B73" s="1"/>
    </row>
    <row r="74" spans="1:2" ht="15">
      <c r="A74" s="1"/>
      <c r="B74" s="1"/>
    </row>
  </sheetData>
  <sheetProtection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priority="4" dxfId="7" operator="between">
      <formula>0.75</formula>
      <formula>1</formula>
    </cfRule>
    <cfRule type="cellIs" priority="5" dxfId="2" operator="between">
      <formula>0.5</formula>
      <formula>0.74</formula>
    </cfRule>
    <cfRule type="cellIs" priority="6" dxfId="0" operator="between">
      <formula>0</formula>
      <formula>0.49</formula>
    </cfRule>
  </conditionalFormatting>
  <conditionalFormatting sqref="J19:J31 J41 J46 J53">
    <cfRule type="cellIs" priority="1" dxfId="4" operator="between">
      <formula>0.75</formula>
      <formula>1</formula>
    </cfRule>
    <cfRule type="cellIs" priority="2" dxfId="2" operator="between">
      <formula>0.5</formula>
      <formula>0.75</formula>
    </cfRule>
    <cfRule type="cellIs" priority="3" dxfId="0" operator="between">
      <formula>0</formula>
      <formula>0.49</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Q41"/>
  <sheetViews>
    <sheetView tabSelected="1" zoomScale="66" zoomScaleNormal="66" zoomScalePageLayoutView="0" workbookViewId="0" topLeftCell="A31">
      <selection activeCell="I34" sqref="I34:M34"/>
    </sheetView>
  </sheetViews>
  <sheetFormatPr defaultColWidth="11.421875" defaultRowHeight="15"/>
  <cols>
    <col min="1" max="1" width="4.421875" style="0" customWidth="1"/>
    <col min="3" max="3" width="35.421875" style="0" customWidth="1"/>
    <col min="4" max="4" width="13.00390625" style="0" customWidth="1"/>
    <col min="5" max="5" width="43.28125" style="0" customWidth="1"/>
    <col min="7" max="7" width="33.8515625" style="0" customWidth="1"/>
    <col min="9" max="9" width="92.28125" style="0" customWidth="1"/>
    <col min="13" max="13" width="29.00390625" style="0" customWidth="1"/>
  </cols>
  <sheetData>
    <row r="1" s="1" customFormat="1" ht="15"/>
    <row r="2" spans="1:17" ht="15.75" thickBot="1">
      <c r="A2" s="1"/>
      <c r="B2" s="1"/>
      <c r="C2" s="1"/>
      <c r="D2" s="1"/>
      <c r="E2" s="1"/>
      <c r="F2" s="1"/>
      <c r="G2" s="1"/>
      <c r="H2" s="1"/>
      <c r="I2" s="1"/>
      <c r="J2" s="1"/>
      <c r="K2" s="1"/>
      <c r="L2" s="1"/>
      <c r="M2" s="1"/>
      <c r="N2" s="1"/>
      <c r="O2" s="1"/>
      <c r="P2" s="1"/>
      <c r="Q2" s="1"/>
    </row>
    <row r="3" spans="1:17" ht="15.75" thickTop="1">
      <c r="A3" s="1"/>
      <c r="B3" s="2"/>
      <c r="C3" s="3"/>
      <c r="D3" s="3"/>
      <c r="E3" s="3"/>
      <c r="F3" s="3"/>
      <c r="G3" s="3"/>
      <c r="H3" s="3"/>
      <c r="I3" s="3"/>
      <c r="J3" s="3"/>
      <c r="K3" s="3"/>
      <c r="L3" s="3"/>
      <c r="M3" s="3"/>
      <c r="N3" s="3"/>
      <c r="O3" s="3"/>
      <c r="P3" s="4"/>
      <c r="Q3" s="1"/>
    </row>
    <row r="4" spans="1:17" ht="16.5">
      <c r="A4" s="1"/>
      <c r="B4" s="5"/>
      <c r="C4" s="1"/>
      <c r="D4" s="1"/>
      <c r="E4" s="291" t="s">
        <v>146</v>
      </c>
      <c r="F4" s="293" t="s">
        <v>147</v>
      </c>
      <c r="G4" s="293"/>
      <c r="H4" s="293"/>
      <c r="I4" s="293"/>
      <c r="J4" s="293"/>
      <c r="K4" s="293"/>
      <c r="L4" s="293"/>
      <c r="M4" s="293"/>
      <c r="N4" s="6"/>
      <c r="O4" s="6"/>
      <c r="P4" s="7"/>
      <c r="Q4" s="1"/>
    </row>
    <row r="5" spans="1:17" ht="45.75" customHeight="1">
      <c r="A5" s="1"/>
      <c r="B5" s="5"/>
      <c r="C5" s="1"/>
      <c r="D5" s="1"/>
      <c r="E5" s="292"/>
      <c r="F5" s="293"/>
      <c r="G5" s="293"/>
      <c r="H5" s="293"/>
      <c r="I5" s="293"/>
      <c r="J5" s="293"/>
      <c r="K5" s="293"/>
      <c r="L5" s="293"/>
      <c r="M5" s="293"/>
      <c r="N5" s="6"/>
      <c r="O5" s="6"/>
      <c r="P5" s="7"/>
      <c r="Q5" s="1"/>
    </row>
    <row r="6" spans="1:17" ht="66.75" customHeight="1">
      <c r="A6" s="1"/>
      <c r="B6" s="5"/>
      <c r="C6" s="1"/>
      <c r="D6" s="1"/>
      <c r="E6" s="87" t="s">
        <v>148</v>
      </c>
      <c r="F6" s="294" t="s">
        <v>238</v>
      </c>
      <c r="G6" s="295"/>
      <c r="H6" s="295"/>
      <c r="I6" s="295"/>
      <c r="J6" s="295"/>
      <c r="K6" s="295"/>
      <c r="L6" s="295"/>
      <c r="M6" s="296"/>
      <c r="N6" s="8"/>
      <c r="O6" s="8"/>
      <c r="P6" s="7"/>
      <c r="Q6" s="1"/>
    </row>
    <row r="7" spans="1:17" ht="15.75" thickBot="1">
      <c r="A7" s="1"/>
      <c r="B7" s="5"/>
      <c r="C7" s="1"/>
      <c r="D7" s="1"/>
      <c r="E7" s="9"/>
      <c r="F7" s="8"/>
      <c r="G7" s="8"/>
      <c r="H7" s="8"/>
      <c r="I7" s="8"/>
      <c r="J7" s="8"/>
      <c r="K7" s="8"/>
      <c r="L7" s="8"/>
      <c r="M7" s="1"/>
      <c r="N7" s="1"/>
      <c r="O7" s="1"/>
      <c r="P7" s="7"/>
      <c r="Q7" s="1"/>
    </row>
    <row r="8" spans="1:17" ht="97.5" customHeight="1" thickBot="1">
      <c r="A8" s="1"/>
      <c r="B8" s="5"/>
      <c r="C8" s="1"/>
      <c r="D8" s="1"/>
      <c r="E8" s="1"/>
      <c r="F8" s="1"/>
      <c r="G8" s="1"/>
      <c r="H8" s="1"/>
      <c r="I8" s="297" t="s">
        <v>149</v>
      </c>
      <c r="J8" s="298"/>
      <c r="K8" s="299"/>
      <c r="L8" s="1"/>
      <c r="M8" s="132">
        <f>+AVERAGE(G26,G28,G30,G32,G34)</f>
        <v>0.8111904761904762</v>
      </c>
      <c r="N8" s="10"/>
      <c r="O8" s="10"/>
      <c r="P8" s="7"/>
      <c r="Q8" s="1"/>
    </row>
    <row r="9" spans="1:17" ht="15.75">
      <c r="A9" s="1"/>
      <c r="B9" s="5"/>
      <c r="C9" s="1"/>
      <c r="D9" s="1"/>
      <c r="E9" s="1"/>
      <c r="F9" s="1"/>
      <c r="G9" s="1"/>
      <c r="H9" s="1"/>
      <c r="I9" s="1"/>
      <c r="J9" s="1"/>
      <c r="K9" s="1"/>
      <c r="L9" s="1"/>
      <c r="M9" s="11"/>
      <c r="N9" s="11"/>
      <c r="O9" s="11"/>
      <c r="P9" s="7"/>
      <c r="Q9" s="1"/>
    </row>
    <row r="10" spans="1:17" ht="15">
      <c r="A10" s="1"/>
      <c r="B10" s="5"/>
      <c r="C10" s="1"/>
      <c r="D10" s="1"/>
      <c r="E10" s="1"/>
      <c r="F10" s="1"/>
      <c r="G10" s="1"/>
      <c r="H10" s="1"/>
      <c r="I10" s="1"/>
      <c r="J10" s="1"/>
      <c r="K10" s="1"/>
      <c r="L10" s="1"/>
      <c r="M10" s="1"/>
      <c r="N10" s="1"/>
      <c r="O10" s="1"/>
      <c r="P10" s="7"/>
      <c r="Q10" s="1"/>
    </row>
    <row r="11" spans="1:17" ht="15">
      <c r="A11" s="1"/>
      <c r="B11" s="5"/>
      <c r="C11" s="1"/>
      <c r="D11" s="1"/>
      <c r="E11" s="1"/>
      <c r="F11" s="1"/>
      <c r="G11" s="1"/>
      <c r="H11" s="1"/>
      <c r="I11" s="1"/>
      <c r="J11" s="1"/>
      <c r="K11" s="1"/>
      <c r="L11" s="1"/>
      <c r="M11" s="1"/>
      <c r="N11" s="1"/>
      <c r="O11" s="1"/>
      <c r="P11" s="7"/>
      <c r="Q11" s="1"/>
    </row>
    <row r="12" spans="1:17" ht="15">
      <c r="A12" s="1"/>
      <c r="B12" s="5"/>
      <c r="C12" s="1"/>
      <c r="D12" s="1"/>
      <c r="E12" s="1"/>
      <c r="F12" s="1"/>
      <c r="G12" s="1"/>
      <c r="H12" s="1"/>
      <c r="I12" s="1"/>
      <c r="J12" s="1"/>
      <c r="K12" s="1"/>
      <c r="L12" s="1"/>
      <c r="M12" s="1"/>
      <c r="N12" s="1"/>
      <c r="O12" s="1"/>
      <c r="P12" s="7"/>
      <c r="Q12" s="1"/>
    </row>
    <row r="13" spans="1:17" ht="15">
      <c r="A13" s="1"/>
      <c r="B13" s="5"/>
      <c r="C13" s="1"/>
      <c r="D13" s="1"/>
      <c r="E13" s="1"/>
      <c r="F13" s="1"/>
      <c r="G13" s="1"/>
      <c r="H13" s="1"/>
      <c r="I13" s="1"/>
      <c r="J13" s="1"/>
      <c r="K13" s="1"/>
      <c r="L13" s="1"/>
      <c r="M13" s="1"/>
      <c r="N13" s="1"/>
      <c r="O13" s="1"/>
      <c r="P13" s="7"/>
      <c r="Q13" s="1"/>
    </row>
    <row r="14" spans="1:17" ht="15">
      <c r="A14" s="1"/>
      <c r="B14" s="5"/>
      <c r="C14" s="1"/>
      <c r="D14" s="1"/>
      <c r="E14" s="1"/>
      <c r="F14" s="1"/>
      <c r="G14" s="1"/>
      <c r="H14" s="1"/>
      <c r="I14" s="1"/>
      <c r="J14" s="1"/>
      <c r="K14" s="1"/>
      <c r="L14" s="1"/>
      <c r="M14" s="1"/>
      <c r="N14" s="1"/>
      <c r="O14" s="1"/>
      <c r="P14" s="7"/>
      <c r="Q14" s="1"/>
    </row>
    <row r="15" spans="1:17" ht="15">
      <c r="A15" s="1"/>
      <c r="B15" s="5"/>
      <c r="C15" s="1"/>
      <c r="D15" s="1"/>
      <c r="E15" s="1"/>
      <c r="F15" s="1"/>
      <c r="G15" s="1"/>
      <c r="H15" s="1"/>
      <c r="I15" s="1"/>
      <c r="J15" s="1"/>
      <c r="K15" s="1"/>
      <c r="L15" s="1"/>
      <c r="M15" s="1"/>
      <c r="N15" s="1"/>
      <c r="O15" s="1"/>
      <c r="P15" s="7"/>
      <c r="Q15" s="1"/>
    </row>
    <row r="16" spans="1:17" ht="15">
      <c r="A16" s="1"/>
      <c r="B16" s="5"/>
      <c r="C16" s="1"/>
      <c r="D16" s="1"/>
      <c r="E16" s="1"/>
      <c r="F16" s="1"/>
      <c r="G16" s="1"/>
      <c r="H16" s="1"/>
      <c r="I16" s="1"/>
      <c r="J16" s="1"/>
      <c r="K16" s="1"/>
      <c r="L16" s="1"/>
      <c r="M16" s="1"/>
      <c r="N16" s="1"/>
      <c r="O16" s="1"/>
      <c r="P16" s="7"/>
      <c r="Q16" s="1"/>
    </row>
    <row r="17" spans="1:17" ht="15">
      <c r="A17" s="1"/>
      <c r="B17" s="5"/>
      <c r="C17" s="1"/>
      <c r="D17" s="1"/>
      <c r="E17" s="1"/>
      <c r="F17" s="1"/>
      <c r="G17" s="1"/>
      <c r="H17" s="1"/>
      <c r="I17" s="1"/>
      <c r="J17" s="1"/>
      <c r="K17" s="1"/>
      <c r="L17" s="1"/>
      <c r="M17" s="1"/>
      <c r="N17" s="1"/>
      <c r="O17" s="1"/>
      <c r="P17" s="7"/>
      <c r="Q17" s="1"/>
    </row>
    <row r="18" spans="1:17" ht="23.25">
      <c r="A18" s="1"/>
      <c r="B18" s="5"/>
      <c r="C18" s="300" t="s">
        <v>150</v>
      </c>
      <c r="D18" s="301"/>
      <c r="E18" s="301"/>
      <c r="F18" s="301"/>
      <c r="G18" s="301"/>
      <c r="H18" s="301"/>
      <c r="I18" s="301"/>
      <c r="J18" s="301"/>
      <c r="K18" s="301"/>
      <c r="L18" s="301"/>
      <c r="M18" s="302"/>
      <c r="N18" s="12"/>
      <c r="O18" s="12"/>
      <c r="P18" s="7"/>
      <c r="Q18" s="1"/>
    </row>
    <row r="19" spans="1:17" ht="16.5" thickBot="1">
      <c r="A19" s="1"/>
      <c r="B19" s="5"/>
      <c r="C19" s="13"/>
      <c r="D19" s="13"/>
      <c r="E19" s="13"/>
      <c r="F19" s="13"/>
      <c r="G19" s="13"/>
      <c r="H19" s="13"/>
      <c r="I19" s="13"/>
      <c r="J19" s="13"/>
      <c r="K19" s="13"/>
      <c r="L19" s="13"/>
      <c r="M19" s="13"/>
      <c r="N19" s="14"/>
      <c r="O19" s="14"/>
      <c r="P19" s="7"/>
      <c r="Q19" s="1"/>
    </row>
    <row r="20" spans="1:17" ht="150" customHeight="1">
      <c r="A20" s="1"/>
      <c r="B20" s="5"/>
      <c r="C20" s="303" t="s">
        <v>151</v>
      </c>
      <c r="D20" s="304"/>
      <c r="E20" s="135" t="s">
        <v>52</v>
      </c>
      <c r="F20" s="305" t="s">
        <v>239</v>
      </c>
      <c r="G20" s="306"/>
      <c r="H20" s="306"/>
      <c r="I20" s="306"/>
      <c r="J20" s="306"/>
      <c r="K20" s="306"/>
      <c r="L20" s="306"/>
      <c r="M20" s="307"/>
      <c r="N20" s="14"/>
      <c r="O20" s="14"/>
      <c r="P20" s="7"/>
      <c r="Q20" s="1"/>
    </row>
    <row r="21" spans="1:17" ht="126.75" customHeight="1">
      <c r="A21" s="1"/>
      <c r="B21" s="5"/>
      <c r="C21" s="287" t="s">
        <v>152</v>
      </c>
      <c r="D21" s="288"/>
      <c r="E21" s="136" t="s">
        <v>40</v>
      </c>
      <c r="F21" s="308" t="s">
        <v>240</v>
      </c>
      <c r="G21" s="309"/>
      <c r="H21" s="309"/>
      <c r="I21" s="309"/>
      <c r="J21" s="309"/>
      <c r="K21" s="309"/>
      <c r="L21" s="309"/>
      <c r="M21" s="310"/>
      <c r="N21" s="14"/>
      <c r="O21" s="14"/>
      <c r="P21" s="7"/>
      <c r="Q21" s="1"/>
    </row>
    <row r="22" spans="1:17" ht="151.5" customHeight="1" thickBot="1">
      <c r="A22" s="1"/>
      <c r="B22" s="5"/>
      <c r="C22" s="289" t="s">
        <v>153</v>
      </c>
      <c r="D22" s="290"/>
      <c r="E22" s="137" t="s">
        <v>36</v>
      </c>
      <c r="F22" s="311" t="s">
        <v>241</v>
      </c>
      <c r="G22" s="312"/>
      <c r="H22" s="312"/>
      <c r="I22" s="312"/>
      <c r="J22" s="312"/>
      <c r="K22" s="312"/>
      <c r="L22" s="312"/>
      <c r="M22" s="313"/>
      <c r="N22" s="14"/>
      <c r="O22" s="14"/>
      <c r="P22" s="7"/>
      <c r="Q22" s="1"/>
    </row>
    <row r="23" spans="1:17" ht="15">
      <c r="A23" s="1"/>
      <c r="B23" s="5"/>
      <c r="C23" s="1"/>
      <c r="D23" s="1"/>
      <c r="E23" s="1"/>
      <c r="F23" s="1"/>
      <c r="G23" s="15"/>
      <c r="H23" s="1"/>
      <c r="I23" s="1"/>
      <c r="J23" s="1"/>
      <c r="K23" s="1"/>
      <c r="L23" s="1"/>
      <c r="M23" s="1"/>
      <c r="N23" s="1"/>
      <c r="O23" s="1"/>
      <c r="P23" s="7"/>
      <c r="Q23" s="1"/>
    </row>
    <row r="24" spans="1:17" ht="78.75">
      <c r="A24" s="1"/>
      <c r="B24" s="5"/>
      <c r="C24" s="90" t="s">
        <v>154</v>
      </c>
      <c r="D24" s="91"/>
      <c r="E24" s="90" t="s">
        <v>155</v>
      </c>
      <c r="F24" s="91"/>
      <c r="G24" s="90" t="s">
        <v>156</v>
      </c>
      <c r="H24" s="91"/>
      <c r="I24" s="317" t="s">
        <v>157</v>
      </c>
      <c r="J24" s="317"/>
      <c r="K24" s="317"/>
      <c r="L24" s="317"/>
      <c r="M24" s="317"/>
      <c r="N24" s="30"/>
      <c r="O24" s="30"/>
      <c r="P24" s="7"/>
      <c r="Q24" s="16"/>
    </row>
    <row r="25" spans="1:17" ht="13.5" customHeight="1" thickBot="1">
      <c r="A25" s="1"/>
      <c r="B25" s="5"/>
      <c r="C25" s="29"/>
      <c r="I25" s="318"/>
      <c r="J25" s="318"/>
      <c r="K25" s="318"/>
      <c r="L25" s="318"/>
      <c r="M25" s="318"/>
      <c r="N25" s="31"/>
      <c r="O25" s="31"/>
      <c r="P25" s="7"/>
      <c r="Q25" s="1"/>
    </row>
    <row r="26" spans="1:17" ht="155.25" customHeight="1">
      <c r="A26" s="1"/>
      <c r="B26" s="5"/>
      <c r="C26" s="81" t="s">
        <v>32</v>
      </c>
      <c r="D26" s="17"/>
      <c r="E26" s="133" t="str">
        <f>+IF(Hoja1!K2&gt;=0.5,"Si","No")</f>
        <v>Si</v>
      </c>
      <c r="F26" s="18"/>
      <c r="G26" s="134">
        <f>+Hoja1!K2</f>
        <v>0.7916666666666666</v>
      </c>
      <c r="H26" s="18"/>
      <c r="I26" s="314" t="s">
        <v>242</v>
      </c>
      <c r="J26" s="315"/>
      <c r="K26" s="315"/>
      <c r="L26" s="315"/>
      <c r="M26" s="316"/>
      <c r="N26" s="32"/>
      <c r="O26" s="33"/>
      <c r="P26" s="19"/>
      <c r="Q26" s="20"/>
    </row>
    <row r="27" spans="1:17" ht="27" thickBot="1">
      <c r="A27" s="1"/>
      <c r="B27" s="5"/>
      <c r="C27" s="82"/>
      <c r="E27" s="89"/>
      <c r="G27" s="21"/>
      <c r="I27" s="319"/>
      <c r="J27" s="319"/>
      <c r="K27" s="319"/>
      <c r="L27" s="319"/>
      <c r="M27" s="319"/>
      <c r="N27" s="34"/>
      <c r="O27" s="34"/>
      <c r="P27" s="7"/>
      <c r="Q27" s="1"/>
    </row>
    <row r="28" spans="1:17" ht="111.75" customHeight="1">
      <c r="A28" s="1"/>
      <c r="B28" s="5"/>
      <c r="C28" s="83" t="s">
        <v>158</v>
      </c>
      <c r="D28" s="17"/>
      <c r="E28" s="133" t="str">
        <f>+IF(Hoja1!K14&gt;=0.5,"Si","No")</f>
        <v>Si</v>
      </c>
      <c r="G28" s="134">
        <f>+Hoja1!K14</f>
        <v>0.95</v>
      </c>
      <c r="I28" s="314" t="s">
        <v>243</v>
      </c>
      <c r="J28" s="315"/>
      <c r="K28" s="315"/>
      <c r="L28" s="315"/>
      <c r="M28" s="316"/>
      <c r="N28" s="32"/>
      <c r="O28" s="32"/>
      <c r="P28" s="7"/>
      <c r="Q28" s="1"/>
    </row>
    <row r="29" spans="1:17" ht="27" thickBot="1">
      <c r="A29" s="1"/>
      <c r="B29" s="5"/>
      <c r="C29" s="82"/>
      <c r="E29" s="89"/>
      <c r="G29" s="21"/>
      <c r="I29" s="319"/>
      <c r="J29" s="319"/>
      <c r="K29" s="319"/>
      <c r="L29" s="319"/>
      <c r="M29" s="319"/>
      <c r="N29" s="34"/>
      <c r="O29" s="34"/>
      <c r="P29" s="7"/>
      <c r="Q29" s="1"/>
    </row>
    <row r="30" spans="1:17" ht="123" customHeight="1" thickBot="1">
      <c r="A30" s="1"/>
      <c r="B30" s="5"/>
      <c r="C30" s="84" t="s">
        <v>159</v>
      </c>
      <c r="D30" s="17"/>
      <c r="E30" s="133" t="str">
        <f>+IF(Hoja1!K24&gt;=0.5,"Si","No")</f>
        <v>Si</v>
      </c>
      <c r="G30" s="134">
        <f>+Hoja1!K24</f>
        <v>0.8</v>
      </c>
      <c r="I30" s="314" t="s">
        <v>160</v>
      </c>
      <c r="J30" s="315"/>
      <c r="K30" s="315"/>
      <c r="L30" s="315"/>
      <c r="M30" s="316"/>
      <c r="N30" s="32"/>
      <c r="O30" s="32"/>
      <c r="P30" s="7"/>
      <c r="Q30" s="1"/>
    </row>
    <row r="31" spans="1:17" ht="27" thickBot="1">
      <c r="A31" s="1"/>
      <c r="B31" s="5"/>
      <c r="C31" s="82"/>
      <c r="E31" s="89"/>
      <c r="G31" s="21"/>
      <c r="I31" s="319"/>
      <c r="J31" s="319"/>
      <c r="K31" s="319"/>
      <c r="L31" s="319"/>
      <c r="M31" s="319"/>
      <c r="N31" s="34"/>
      <c r="O31" s="34"/>
      <c r="P31" s="7"/>
      <c r="Q31" s="1"/>
    </row>
    <row r="32" spans="1:17" ht="171" customHeight="1" thickBot="1">
      <c r="A32" s="1"/>
      <c r="B32" s="5"/>
      <c r="C32" s="85" t="s">
        <v>96</v>
      </c>
      <c r="D32" s="17"/>
      <c r="E32" s="133" t="str">
        <f>+IF(Hoja1!K29&gt;=0.5,"Si","No")</f>
        <v>Si</v>
      </c>
      <c r="G32" s="134">
        <f>+Hoja1!K29</f>
        <v>0.7142857142857143</v>
      </c>
      <c r="I32" s="314" t="s">
        <v>229</v>
      </c>
      <c r="J32" s="315"/>
      <c r="K32" s="315"/>
      <c r="L32" s="315"/>
      <c r="M32" s="316"/>
      <c r="N32" s="32"/>
      <c r="O32" s="32"/>
      <c r="P32" s="7"/>
      <c r="Q32" s="1"/>
    </row>
    <row r="33" spans="1:17" ht="27" thickBot="1">
      <c r="A33" s="1"/>
      <c r="B33" s="5"/>
      <c r="C33" s="82"/>
      <c r="E33" s="89"/>
      <c r="G33" s="21"/>
      <c r="I33" s="319"/>
      <c r="J33" s="319"/>
      <c r="K33" s="319"/>
      <c r="L33" s="319"/>
      <c r="M33" s="319"/>
      <c r="N33" s="34"/>
      <c r="O33" s="34"/>
      <c r="P33" s="7"/>
      <c r="Q33" s="1"/>
    </row>
    <row r="34" spans="1:17" ht="164.25" customHeight="1" thickBot="1">
      <c r="A34" s="1"/>
      <c r="B34" s="5"/>
      <c r="C34" s="86" t="s">
        <v>161</v>
      </c>
      <c r="D34" s="17"/>
      <c r="E34" s="88" t="str">
        <f>+IF(Hoja1!K36&gt;=0.5,"Si","No")</f>
        <v>Si</v>
      </c>
      <c r="G34" s="134">
        <f>+Hoja1!K36</f>
        <v>0.8</v>
      </c>
      <c r="I34" s="314" t="s">
        <v>235</v>
      </c>
      <c r="J34" s="315"/>
      <c r="K34" s="315"/>
      <c r="L34" s="315"/>
      <c r="M34" s="316"/>
      <c r="N34" s="32"/>
      <c r="O34" s="32"/>
      <c r="P34" s="7"/>
      <c r="Q34" s="1"/>
    </row>
    <row r="35" spans="1:17" ht="15.75">
      <c r="A35" s="1"/>
      <c r="B35" s="5"/>
      <c r="C35" s="22"/>
      <c r="D35" s="22"/>
      <c r="E35" s="14"/>
      <c r="F35" s="1"/>
      <c r="G35" s="1"/>
      <c r="H35" s="1"/>
      <c r="I35" s="1"/>
      <c r="J35" s="1"/>
      <c r="K35" s="1"/>
      <c r="L35" s="1"/>
      <c r="M35" s="23"/>
      <c r="N35" s="23"/>
      <c r="O35" s="23"/>
      <c r="P35" s="7"/>
      <c r="Q35" s="1"/>
    </row>
    <row r="36" spans="1:17" ht="15.75">
      <c r="A36" s="1"/>
      <c r="B36" s="5"/>
      <c r="C36" s="24"/>
      <c r="D36" s="22"/>
      <c r="E36" s="14"/>
      <c r="F36" s="1"/>
      <c r="G36" s="1"/>
      <c r="H36" s="1"/>
      <c r="I36" s="1"/>
      <c r="J36" s="1"/>
      <c r="K36" s="1"/>
      <c r="L36" s="1"/>
      <c r="M36" s="23"/>
      <c r="N36" s="23"/>
      <c r="O36" s="23"/>
      <c r="P36" s="7"/>
      <c r="Q36" s="1"/>
    </row>
    <row r="37" spans="1:17" ht="15">
      <c r="A37" s="1"/>
      <c r="B37" s="5"/>
      <c r="C37" s="25"/>
      <c r="D37" s="1"/>
      <c r="E37" s="1"/>
      <c r="F37" s="1"/>
      <c r="G37" s="1"/>
      <c r="H37" s="1"/>
      <c r="I37" s="1"/>
      <c r="J37" s="1"/>
      <c r="K37" s="1"/>
      <c r="L37" s="1"/>
      <c r="M37" s="1"/>
      <c r="N37" s="1"/>
      <c r="O37" s="1"/>
      <c r="P37" s="7"/>
      <c r="Q37" s="1"/>
    </row>
    <row r="38" spans="1:17" ht="15.75" thickBot="1">
      <c r="A38" s="1"/>
      <c r="B38" s="26"/>
      <c r="C38" s="27"/>
      <c r="D38" s="27"/>
      <c r="E38" s="27"/>
      <c r="F38" s="27"/>
      <c r="G38" s="27"/>
      <c r="H38" s="27"/>
      <c r="I38" s="27"/>
      <c r="J38" s="27"/>
      <c r="K38" s="27"/>
      <c r="L38" s="27"/>
      <c r="M38" s="27"/>
      <c r="N38" s="27"/>
      <c r="O38" s="27"/>
      <c r="P38" s="28"/>
      <c r="Q38" s="1"/>
    </row>
    <row r="39" spans="1:17" ht="15.75" thickTop="1">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sheetData>
  <sheetProtection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dxfId="4" operator="between">
      <formula>0.75</formula>
      <formula>1</formula>
    </cfRule>
    <cfRule type="cellIs" priority="5" dxfId="2" operator="between">
      <formula>0.5</formula>
      <formula>0.75</formula>
    </cfRule>
    <cfRule type="cellIs" priority="6" dxfId="0" operator="between">
      <formula>0</formula>
      <formula>0.49</formula>
    </cfRule>
    <cfRule type="cellIs" priority="31" dxfId="7" operator="between">
      <formula>0.76</formula>
      <formula>1</formula>
    </cfRule>
    <cfRule type="cellIs" priority="32" dxfId="1" operator="between">
      <formula>0.51</formula>
      <formula>0.75</formula>
    </cfRule>
    <cfRule type="cellIs" priority="33" dxfId="2" operator="between">
      <formula>0.26</formula>
      <formula>0.5</formula>
    </cfRule>
  </conditionalFormatting>
  <conditionalFormatting sqref="M8">
    <cfRule type="cellIs" priority="1" dxfId="7" operator="between">
      <formula>0.75</formula>
      <formula>1</formula>
    </cfRule>
    <cfRule type="cellIs" priority="2" dxfId="2" operator="between">
      <formula>0.5</formula>
      <formula>0.75</formula>
    </cfRule>
    <cfRule type="cellIs" priority="3" dxfId="0" operator="between">
      <formula>0</formula>
      <formula>0.49</formula>
    </cfRule>
    <cfRule type="cellIs" priority="27" dxfId="4" operator="between">
      <formula>0.76</formula>
      <formula>1</formula>
    </cfRule>
    <cfRule type="cellIs" priority="28" dxfId="1" operator="between">
      <formula>0.51</formula>
      <formula>0.75</formula>
    </cfRule>
    <cfRule type="cellIs" priority="29" dxfId="2" operator="between">
      <formula>0.26</formula>
      <formula>0.5</formula>
    </cfRule>
    <cfRule type="cellIs" priority="30" dxfId="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K45"/>
  <sheetViews>
    <sheetView zoomScalePageLayoutView="0" workbookViewId="0" topLeftCell="A1">
      <selection activeCell="F2" sqref="F2"/>
    </sheetView>
  </sheetViews>
  <sheetFormatPr defaultColWidth="11.421875" defaultRowHeight="15"/>
  <cols>
    <col min="2" max="2" width="31.00390625" style="0" bestFit="1" customWidth="1"/>
    <col min="3" max="3" width="17.140625" style="0" customWidth="1"/>
    <col min="5" max="5" width="15.140625" style="0" customWidth="1"/>
    <col min="10" max="10" width="15.7109375" style="0" customWidth="1"/>
    <col min="11" max="11" width="12.00390625" style="0" bestFit="1" customWidth="1"/>
  </cols>
  <sheetData>
    <row r="1" spans="1:11" ht="84.75" customHeight="1">
      <c r="A1" s="138" t="s">
        <v>25</v>
      </c>
      <c r="B1" s="138" t="s">
        <v>6</v>
      </c>
      <c r="C1" s="139" t="s">
        <v>8</v>
      </c>
      <c r="D1" s="140" t="s">
        <v>26</v>
      </c>
      <c r="E1" s="140" t="s">
        <v>27</v>
      </c>
      <c r="F1" s="140" t="s">
        <v>162</v>
      </c>
      <c r="G1" s="141" t="s">
        <v>163</v>
      </c>
      <c r="H1" s="141" t="s">
        <v>164</v>
      </c>
      <c r="I1" s="141" t="s">
        <v>141</v>
      </c>
      <c r="J1" s="141" t="s">
        <v>165</v>
      </c>
      <c r="K1" s="141" t="s">
        <v>166</v>
      </c>
    </row>
    <row r="2" spans="1:11" ht="15">
      <c r="A2" s="142" t="s">
        <v>167</v>
      </c>
      <c r="B2" s="142" t="str">
        <f>+VLOOKUP(A2,'Estado SCI'!$A$16:$C$59,3,0)</f>
        <v>AMBIENTE DE CONTROL</v>
      </c>
      <c r="C2" s="142" t="s">
        <v>33</v>
      </c>
      <c r="D2" s="142" t="s">
        <v>34</v>
      </c>
      <c r="E2" s="142" t="s">
        <v>35</v>
      </c>
      <c r="F2" s="142" t="str">
        <f>+VLOOKUP(A2,'Estado SCI'!$A$16:$I$59,9,0)</f>
        <v>Deficiencia de control</v>
      </c>
      <c r="G2" s="142">
        <f>+VLOOKUP(A2,'Estado SCI'!$A$16:$L$59,12,0)</f>
        <v>0.123</v>
      </c>
      <c r="H2" s="142">
        <f aca="true" t="shared" si="0" ref="H2:H45">+_xlfn.RANK.EQ(G2,$G$2:$G$45,1)</f>
        <v>1</v>
      </c>
      <c r="I2" s="142" t="str">
        <f>+IF(VLOOKUP(A2,'Estado SCI'!$A$16:$G$59,7,0)="","",VLOOKUP(A2,'Estado SCI'!$A$16:$G$59,7,0))</f>
        <v>No</v>
      </c>
      <c r="J2" s="143">
        <f>+IF(I2="Si",1,IF(I2="En proceso",0.5,0))</f>
        <v>0</v>
      </c>
      <c r="K2" s="144">
        <f aca="true" t="shared" si="1" ref="K2:K45">+_xlfn.AVERAGEIF($B$2:$B$45,B2,$J$2:$J$45)</f>
        <v>0.7916666666666666</v>
      </c>
    </row>
    <row r="3" spans="1:11" ht="15">
      <c r="A3" s="142" t="s">
        <v>168</v>
      </c>
      <c r="B3" s="142" t="s">
        <v>32</v>
      </c>
      <c r="C3" s="142" t="s">
        <v>33</v>
      </c>
      <c r="D3" s="142" t="s">
        <v>38</v>
      </c>
      <c r="E3" s="142" t="s">
        <v>39</v>
      </c>
      <c r="F3" s="142" t="str">
        <f>+VLOOKUP(A3,'Estado SCI'!$A$16:$I$59,9,0)</f>
        <v>Mantenimiento del control</v>
      </c>
      <c r="G3" s="142">
        <f>+VLOOKUP(A3,'Estado SCI'!$A$16:$L$59,12,0)</f>
        <v>20.1234</v>
      </c>
      <c r="H3" s="142">
        <f t="shared" si="0"/>
        <v>4</v>
      </c>
      <c r="I3" s="142" t="str">
        <f>+IF(VLOOKUP(A3,'Estado SCI'!$A$16:$G$59,7,0)="","",VLOOKUP(A3,'Estado SCI'!$A$16:$G$59,7,0))</f>
        <v>Si</v>
      </c>
      <c r="J3" s="143">
        <f aca="true" t="shared" si="2" ref="J3:J45">+IF(I3="Si",1,IF(I3="En proceso",0.5,0))</f>
        <v>1</v>
      </c>
      <c r="K3" s="144">
        <f t="shared" si="1"/>
        <v>0.7916666666666666</v>
      </c>
    </row>
    <row r="4" spans="1:11" ht="15">
      <c r="A4" s="142" t="s">
        <v>169</v>
      </c>
      <c r="B4" s="142" t="s">
        <v>32</v>
      </c>
      <c r="C4" s="142" t="s">
        <v>33</v>
      </c>
      <c r="D4" s="142" t="s">
        <v>42</v>
      </c>
      <c r="E4" s="142" t="s">
        <v>43</v>
      </c>
      <c r="F4" s="142" t="str">
        <f>+VLOOKUP(A4,'Estado SCI'!$A$16:$I$59,9,0)</f>
        <v>Mantenimiento del control</v>
      </c>
      <c r="G4" s="142">
        <f>+VLOOKUP(A4,'Estado SCI'!$A$16:$L$59,12,0)</f>
        <v>20.12345</v>
      </c>
      <c r="H4" s="142">
        <f t="shared" si="0"/>
        <v>5</v>
      </c>
      <c r="I4" s="142" t="str">
        <f>+IF(VLOOKUP(A4,'Estado SCI'!$A$16:$G$59,7,0)="","",VLOOKUP(A4,'Estado SCI'!$A$16:$G$59,7,0))</f>
        <v>Si</v>
      </c>
      <c r="J4" s="143">
        <f t="shared" si="2"/>
        <v>1</v>
      </c>
      <c r="K4" s="144">
        <f t="shared" si="1"/>
        <v>0.7916666666666666</v>
      </c>
    </row>
    <row r="5" spans="1:11" ht="15">
      <c r="A5" s="142" t="s">
        <v>170</v>
      </c>
      <c r="B5" s="142" t="s">
        <v>32</v>
      </c>
      <c r="C5" s="142" t="s">
        <v>33</v>
      </c>
      <c r="D5" s="142" t="s">
        <v>44</v>
      </c>
      <c r="E5" s="142" t="s">
        <v>45</v>
      </c>
      <c r="F5" s="142" t="str">
        <f>+VLOOKUP(A5,'Estado SCI'!$A$16:$I$59,9,0)</f>
        <v>Mantenimiento del control</v>
      </c>
      <c r="G5" s="142">
        <f>+VLOOKUP(A5,'Estado SCI'!$A$16:$L$59,12,0)</f>
        <v>20.123456</v>
      </c>
      <c r="H5" s="142">
        <f t="shared" si="0"/>
        <v>6</v>
      </c>
      <c r="I5" s="142" t="str">
        <f>+IF(VLOOKUP(A5,'Estado SCI'!$A$16:$G$59,7,0)="","",VLOOKUP(A5,'Estado SCI'!$A$16:$G$59,7,0))</f>
        <v>Si</v>
      </c>
      <c r="J5" s="143">
        <f t="shared" si="2"/>
        <v>1</v>
      </c>
      <c r="K5" s="144">
        <f t="shared" si="1"/>
        <v>0.7916666666666666</v>
      </c>
    </row>
    <row r="6" spans="1:11" ht="15">
      <c r="A6" s="142" t="s">
        <v>171</v>
      </c>
      <c r="B6" s="142" t="s">
        <v>32</v>
      </c>
      <c r="C6" s="142" t="s">
        <v>33</v>
      </c>
      <c r="D6" s="142" t="s">
        <v>47</v>
      </c>
      <c r="E6" s="142" t="s">
        <v>48</v>
      </c>
      <c r="F6" s="142" t="str">
        <f>+VLOOKUP(A6,'Estado SCI'!$A$16:$I$59,9,0)</f>
        <v>Mantenimiento del control</v>
      </c>
      <c r="G6" s="142">
        <f>+VLOOKUP(A6,'Estado SCI'!$A$16:$L$59,12,0)</f>
        <v>20.12345678</v>
      </c>
      <c r="H6" s="142">
        <f t="shared" si="0"/>
        <v>7</v>
      </c>
      <c r="I6" s="142" t="str">
        <f>+IF(VLOOKUP(A6,'Estado SCI'!$A$16:$G$59,7,0)="","",VLOOKUP(A6,'Estado SCI'!$A$16:$G$59,7,0))</f>
        <v>Si</v>
      </c>
      <c r="J6" s="143">
        <f t="shared" si="2"/>
        <v>1</v>
      </c>
      <c r="K6" s="144">
        <f t="shared" si="1"/>
        <v>0.7916666666666666</v>
      </c>
    </row>
    <row r="7" spans="1:11" ht="15">
      <c r="A7" s="142" t="s">
        <v>172</v>
      </c>
      <c r="B7" s="142" t="s">
        <v>32</v>
      </c>
      <c r="C7" s="142" t="s">
        <v>33</v>
      </c>
      <c r="D7" s="142" t="s">
        <v>50</v>
      </c>
      <c r="E7" s="142" t="s">
        <v>51</v>
      </c>
      <c r="F7" s="142" t="str">
        <f>+VLOOKUP(A7,'Estado SCI'!$A$16:$I$59,9,0)</f>
        <v>Mantenimiento del control</v>
      </c>
      <c r="G7" s="142">
        <f>+VLOOKUP(A7,'Estado SCI'!$A$16:$L$59,12,0)</f>
        <v>20.123456789</v>
      </c>
      <c r="H7" s="142">
        <f t="shared" si="0"/>
        <v>8</v>
      </c>
      <c r="I7" s="142" t="str">
        <f>+IF(VLOOKUP(A7,'Estado SCI'!$A$16:$G$59,7,0)="","",VLOOKUP(A7,'Estado SCI'!$A$16:$G$59,7,0))</f>
        <v>Si</v>
      </c>
      <c r="J7" s="143">
        <f t="shared" si="2"/>
        <v>1</v>
      </c>
      <c r="K7" s="144">
        <f t="shared" si="1"/>
        <v>0.7916666666666666</v>
      </c>
    </row>
    <row r="8" spans="1:11" ht="15">
      <c r="A8" s="142" t="s">
        <v>173</v>
      </c>
      <c r="B8" s="142" t="s">
        <v>32</v>
      </c>
      <c r="C8" s="142" t="s">
        <v>33</v>
      </c>
      <c r="D8" s="142" t="s">
        <v>53</v>
      </c>
      <c r="E8" s="142" t="s">
        <v>54</v>
      </c>
      <c r="F8" s="142" t="str">
        <f>+VLOOKUP(A8,'Estado SCI'!$A$16:$I$59,9,0)</f>
        <v>Mantenimiento del control</v>
      </c>
      <c r="G8" s="142">
        <f>+VLOOKUP(A8,'Estado SCI'!$A$16:$L$59,12,0)</f>
        <v>20.1234567891</v>
      </c>
      <c r="H8" s="142">
        <f t="shared" si="0"/>
        <v>9</v>
      </c>
      <c r="I8" s="142" t="str">
        <f>+IF(VLOOKUP(A8,'Estado SCI'!$A$16:$G$59,7,0)="","",VLOOKUP(A8,'Estado SCI'!$A$16:$G$59,7,0))</f>
        <v>Si</v>
      </c>
      <c r="J8" s="143">
        <f t="shared" si="2"/>
        <v>1</v>
      </c>
      <c r="K8" s="144">
        <f t="shared" si="1"/>
        <v>0.7916666666666666</v>
      </c>
    </row>
    <row r="9" spans="1:11" ht="15">
      <c r="A9" s="142" t="s">
        <v>174</v>
      </c>
      <c r="B9" s="142" t="s">
        <v>32</v>
      </c>
      <c r="C9" s="142" t="s">
        <v>33</v>
      </c>
      <c r="D9" s="142" t="s">
        <v>55</v>
      </c>
      <c r="E9" s="142" t="s">
        <v>56</v>
      </c>
      <c r="F9" s="142" t="str">
        <f>+VLOOKUP(A9,'Estado SCI'!$A$16:$I$59,9,0)</f>
        <v>Oportunidad de mejora</v>
      </c>
      <c r="G9" s="142">
        <f>+VLOOKUP(A9,'Estado SCI'!$A$16:$L$59,12,0)</f>
        <v>10.12345678912</v>
      </c>
      <c r="H9" s="142">
        <f t="shared" si="0"/>
        <v>3</v>
      </c>
      <c r="I9" s="142" t="str">
        <f>+IF(VLOOKUP(A9,'Estado SCI'!$A$16:$G$59,7,0)="","",VLOOKUP(A9,'Estado SCI'!$A$16:$G$59,7,0))</f>
        <v>En proceso</v>
      </c>
      <c r="J9" s="143">
        <f t="shared" si="2"/>
        <v>0.5</v>
      </c>
      <c r="K9" s="144">
        <f t="shared" si="1"/>
        <v>0.7916666666666666</v>
      </c>
    </row>
    <row r="10" spans="1:11" ht="15">
      <c r="A10" s="142" t="s">
        <v>175</v>
      </c>
      <c r="B10" s="142" t="s">
        <v>32</v>
      </c>
      <c r="C10" s="142" t="s">
        <v>33</v>
      </c>
      <c r="D10" s="142" t="s">
        <v>57</v>
      </c>
      <c r="E10" s="142" t="s">
        <v>58</v>
      </c>
      <c r="F10" s="142" t="str">
        <f>+VLOOKUP(A10,'Estado SCI'!$A$16:$I$59,9,0)</f>
        <v>Mantenimiento del control</v>
      </c>
      <c r="G10" s="142">
        <f>+VLOOKUP(A10,'Estado SCI'!$A$16:$L$59,12,0)</f>
        <v>20.123456789123</v>
      </c>
      <c r="H10" s="142">
        <f t="shared" si="0"/>
        <v>10</v>
      </c>
      <c r="I10" s="142" t="str">
        <f>+IF(VLOOKUP(A10,'Estado SCI'!$A$16:$G$59,7,0)="","",VLOOKUP(A10,'Estado SCI'!$A$16:$G$59,7,0))</f>
        <v>Si</v>
      </c>
      <c r="J10" s="143">
        <f t="shared" si="2"/>
        <v>1</v>
      </c>
      <c r="K10" s="144">
        <f t="shared" si="1"/>
        <v>0.7916666666666666</v>
      </c>
    </row>
    <row r="11" spans="1:11" ht="15">
      <c r="A11" s="142" t="s">
        <v>176</v>
      </c>
      <c r="B11" s="142" t="s">
        <v>32</v>
      </c>
      <c r="C11" s="142" t="s">
        <v>33</v>
      </c>
      <c r="D11" s="142" t="s">
        <v>59</v>
      </c>
      <c r="E11" s="142" t="s">
        <v>60</v>
      </c>
      <c r="F11" s="142" t="str">
        <f>+VLOOKUP(A11,'Estado SCI'!$A$16:$I$59,9,0)</f>
        <v>Deficiencia de control</v>
      </c>
      <c r="G11" s="142">
        <f>+VLOOKUP(A11,'Estado SCI'!$A$16:$L$59,12,0)</f>
        <v>0.1234567891234</v>
      </c>
      <c r="H11" s="142">
        <f t="shared" si="0"/>
        <v>2</v>
      </c>
      <c r="I11" s="142" t="str">
        <f>+IF(VLOOKUP(A11,'Estado SCI'!$A$16:$G$59,7,0)="","",VLOOKUP(A11,'Estado SCI'!$A$16:$G$59,7,0))</f>
        <v>No</v>
      </c>
      <c r="J11" s="143">
        <f t="shared" si="2"/>
        <v>0</v>
      </c>
      <c r="K11" s="144">
        <f t="shared" si="1"/>
        <v>0.7916666666666666</v>
      </c>
    </row>
    <row r="12" spans="1:11" ht="15">
      <c r="A12" s="142" t="s">
        <v>177</v>
      </c>
      <c r="B12" s="142" t="s">
        <v>32</v>
      </c>
      <c r="C12" s="142" t="s">
        <v>33</v>
      </c>
      <c r="D12" s="142" t="s">
        <v>62</v>
      </c>
      <c r="E12" s="142" t="s">
        <v>63</v>
      </c>
      <c r="F12" s="142" t="str">
        <f>+VLOOKUP(A12,'Estado SCI'!$A$16:$I$59,9,0)</f>
        <v>Mantenimiento del control</v>
      </c>
      <c r="G12" s="142">
        <f>+VLOOKUP(A12,'Estado SCI'!$A$16:$L$59,12,0)</f>
        <v>20.12345678912345</v>
      </c>
      <c r="H12" s="142">
        <f t="shared" si="0"/>
        <v>11</v>
      </c>
      <c r="I12" s="142" t="str">
        <f>+IF(VLOOKUP(A12,'Estado SCI'!$A$16:$G$59,7,0)="","",VLOOKUP(A12,'Estado SCI'!$A$16:$G$59,7,0))</f>
        <v>Si</v>
      </c>
      <c r="J12" s="143">
        <f t="shared" si="2"/>
        <v>1</v>
      </c>
      <c r="K12" s="144">
        <f t="shared" si="1"/>
        <v>0.7916666666666666</v>
      </c>
    </row>
    <row r="13" spans="1:11" ht="15">
      <c r="A13" s="142" t="s">
        <v>178</v>
      </c>
      <c r="B13" s="142" t="s">
        <v>32</v>
      </c>
      <c r="C13" s="142" t="s">
        <v>33</v>
      </c>
      <c r="D13" s="142" t="s">
        <v>64</v>
      </c>
      <c r="E13" s="142" t="s">
        <v>65</v>
      </c>
      <c r="F13" s="142" t="str">
        <f>+VLOOKUP(A13,'Estado SCI'!$A$16:$I$59,9,0)</f>
        <v>Mantenimiento del control</v>
      </c>
      <c r="G13" s="142">
        <f>+VLOOKUP(A13,'Estado SCI'!$A$16:$L$59,12,0)</f>
        <v>20.123456789123455</v>
      </c>
      <c r="H13" s="142">
        <f t="shared" si="0"/>
        <v>12</v>
      </c>
      <c r="I13" s="142" t="str">
        <f>+IF(VLOOKUP(A13,'Estado SCI'!$A$16:$G$59,7,0)="","",VLOOKUP(A13,'Estado SCI'!$A$16:$G$59,7,0))</f>
        <v>Si</v>
      </c>
      <c r="J13" s="143">
        <f t="shared" si="2"/>
        <v>1</v>
      </c>
      <c r="K13" s="144">
        <f t="shared" si="1"/>
        <v>0.7916666666666666</v>
      </c>
    </row>
    <row r="14" spans="1:11" ht="15" customHeight="1">
      <c r="A14" s="142" t="s">
        <v>179</v>
      </c>
      <c r="B14" s="142" t="str">
        <f>+VLOOKUP(A14,'Estado SCI'!$A$16:$C$59,3,0)</f>
        <v>EVALUACION DEL RIESGO</v>
      </c>
      <c r="C14" s="142" t="s">
        <v>69</v>
      </c>
      <c r="D14" s="142" t="s">
        <v>34</v>
      </c>
      <c r="E14" s="142" t="s">
        <v>180</v>
      </c>
      <c r="F14" s="142" t="str">
        <f>+VLOOKUP(A14,'Estado SCI'!$A$16:$I$59,9,0)</f>
        <v>Oportunidad de mejora</v>
      </c>
      <c r="G14" s="142">
        <f>+VLOOKUP(A14,'Estado SCI'!$A$16:$L$59,12,0)</f>
        <v>30.23</v>
      </c>
      <c r="H14" s="142">
        <f t="shared" si="0"/>
        <v>13</v>
      </c>
      <c r="I14" s="142" t="str">
        <f>+IF(VLOOKUP(A14,'Estado SCI'!$A$16:$G$59,7,0)="","",VLOOKUP(A14,'Estado SCI'!$A$16:$G$59,7,0))</f>
        <v>En proceso</v>
      </c>
      <c r="J14" s="143">
        <f t="shared" si="2"/>
        <v>0.5</v>
      </c>
      <c r="K14" s="144">
        <f t="shared" si="1"/>
        <v>0.95</v>
      </c>
    </row>
    <row r="15" spans="1:11" ht="15" customHeight="1">
      <c r="A15" s="142" t="s">
        <v>181</v>
      </c>
      <c r="B15" s="142" t="s">
        <v>68</v>
      </c>
      <c r="C15" s="142" t="s">
        <v>69</v>
      </c>
      <c r="D15" s="142" t="s">
        <v>38</v>
      </c>
      <c r="E15" s="142" t="s">
        <v>182</v>
      </c>
      <c r="F15" s="142" t="str">
        <f>+VLOOKUP(A15,'Estado SCI'!$A$16:$I$59,9,0)</f>
        <v>Mantenimiento del control</v>
      </c>
      <c r="G15" s="142">
        <f>+VLOOKUP(A15,'Estado SCI'!$A$16:$L$59,12,0)</f>
        <v>40.234</v>
      </c>
      <c r="H15" s="142">
        <f t="shared" si="0"/>
        <v>14</v>
      </c>
      <c r="I15" s="142" t="str">
        <f>+IF(VLOOKUP(A15,'Estado SCI'!$A$16:$G$59,7,0)="","",VLOOKUP(A15,'Estado SCI'!$A$16:$G$59,7,0))</f>
        <v>Si</v>
      </c>
      <c r="J15" s="143">
        <f t="shared" si="2"/>
        <v>1</v>
      </c>
      <c r="K15" s="144">
        <f t="shared" si="1"/>
        <v>0.95</v>
      </c>
    </row>
    <row r="16" spans="1:11" ht="15" customHeight="1">
      <c r="A16" s="142" t="s">
        <v>183</v>
      </c>
      <c r="B16" s="142" t="s">
        <v>68</v>
      </c>
      <c r="C16" s="142" t="s">
        <v>69</v>
      </c>
      <c r="D16" s="142" t="s">
        <v>42</v>
      </c>
      <c r="E16" s="142" t="s">
        <v>184</v>
      </c>
      <c r="F16" s="142" t="str">
        <f>+VLOOKUP(A16,'Estado SCI'!$A$16:$I$59,9,0)</f>
        <v>Mantenimiento del control</v>
      </c>
      <c r="G16" s="142">
        <f>+VLOOKUP(A16,'Estado SCI'!$A$16:$L$59,12,0)</f>
        <v>40.2345</v>
      </c>
      <c r="H16" s="142">
        <f t="shared" si="0"/>
        <v>15</v>
      </c>
      <c r="I16" s="142" t="str">
        <f>+IF(VLOOKUP(A16,'Estado SCI'!$A$16:$G$59,7,0)="","",VLOOKUP(A16,'Estado SCI'!$A$16:$G$59,7,0))</f>
        <v>Si</v>
      </c>
      <c r="J16" s="143">
        <f t="shared" si="2"/>
        <v>1</v>
      </c>
      <c r="K16" s="144">
        <f t="shared" si="1"/>
        <v>0.95</v>
      </c>
    </row>
    <row r="17" spans="1:11" ht="15.75" customHeight="1">
      <c r="A17" s="142" t="s">
        <v>185</v>
      </c>
      <c r="B17" s="142" t="s">
        <v>68</v>
      </c>
      <c r="C17" s="142" t="s">
        <v>69</v>
      </c>
      <c r="D17" s="142" t="s">
        <v>44</v>
      </c>
      <c r="E17" s="142" t="s">
        <v>73</v>
      </c>
      <c r="F17" s="142" t="str">
        <f>+VLOOKUP(A17,'Estado SCI'!$A$16:$I$59,9,0)</f>
        <v>Mantenimiento del control</v>
      </c>
      <c r="G17" s="142">
        <f>+VLOOKUP(A17,'Estado SCI'!$A$16:$L$59,12,0)</f>
        <v>40.23456</v>
      </c>
      <c r="H17" s="142">
        <f t="shared" si="0"/>
        <v>16</v>
      </c>
      <c r="I17" s="142" t="str">
        <f>+IF(VLOOKUP(A17,'Estado SCI'!$A$16:$G$59,7,0)="","",VLOOKUP(A17,'Estado SCI'!$A$16:$G$59,7,0))</f>
        <v>Si</v>
      </c>
      <c r="J17" s="143">
        <f t="shared" si="2"/>
        <v>1</v>
      </c>
      <c r="K17" s="144">
        <f t="shared" si="1"/>
        <v>0.95</v>
      </c>
    </row>
    <row r="18" spans="1:11" ht="15" customHeight="1">
      <c r="A18" s="142" t="s">
        <v>186</v>
      </c>
      <c r="B18" s="142" t="s">
        <v>68</v>
      </c>
      <c r="C18" s="142" t="s">
        <v>88</v>
      </c>
      <c r="D18" s="142" t="s">
        <v>34</v>
      </c>
      <c r="E18" s="142" t="s">
        <v>76</v>
      </c>
      <c r="F18" s="142" t="str">
        <f>+VLOOKUP(A18,'Estado SCI'!$A$16:$I$59,9,0)</f>
        <v>Mantenimiento del control</v>
      </c>
      <c r="G18" s="142">
        <f>+VLOOKUP(A18,'Estado SCI'!$A$16:$L$59,12,0)</f>
        <v>40.234567</v>
      </c>
      <c r="H18" s="142">
        <f t="shared" si="0"/>
        <v>17</v>
      </c>
      <c r="I18" s="142" t="str">
        <f>+IF(VLOOKUP(A18,'Estado SCI'!$A$16:$G$59,7,0)="","",VLOOKUP(A18,'Estado SCI'!$A$16:$G$59,7,0))</f>
        <v>Si</v>
      </c>
      <c r="J18" s="143">
        <f t="shared" si="2"/>
        <v>1</v>
      </c>
      <c r="K18" s="144">
        <f t="shared" si="1"/>
        <v>0.95</v>
      </c>
    </row>
    <row r="19" spans="1:11" ht="15" customHeight="1">
      <c r="A19" s="142" t="s">
        <v>187</v>
      </c>
      <c r="B19" s="142" t="s">
        <v>68</v>
      </c>
      <c r="C19" s="142" t="s">
        <v>88</v>
      </c>
      <c r="D19" s="142" t="s">
        <v>38</v>
      </c>
      <c r="E19" s="142" t="s">
        <v>78</v>
      </c>
      <c r="F19" s="142" t="str">
        <f>+VLOOKUP(A19,'Estado SCI'!$A$16:$I$59,9,0)</f>
        <v>Mantenimiento del control</v>
      </c>
      <c r="G19" s="142">
        <f>+VLOOKUP(A19,'Estado SCI'!$A$16:$L$59,12,0)</f>
        <v>40.2345678</v>
      </c>
      <c r="H19" s="142">
        <f t="shared" si="0"/>
        <v>18</v>
      </c>
      <c r="I19" s="142" t="str">
        <f>+IF(VLOOKUP(A19,'Estado SCI'!$A$16:$G$59,7,0)="","",VLOOKUP(A19,'Estado SCI'!$A$16:$G$59,7,0))</f>
        <v>Si</v>
      </c>
      <c r="J19" s="143">
        <f t="shared" si="2"/>
        <v>1</v>
      </c>
      <c r="K19" s="144">
        <f t="shared" si="1"/>
        <v>0.95</v>
      </c>
    </row>
    <row r="20" spans="1:11" ht="15" customHeight="1">
      <c r="A20" s="142" t="s">
        <v>188</v>
      </c>
      <c r="B20" s="142" t="s">
        <v>68</v>
      </c>
      <c r="C20" s="142" t="s">
        <v>88</v>
      </c>
      <c r="D20" s="142" t="s">
        <v>42</v>
      </c>
      <c r="E20" s="142" t="s">
        <v>79</v>
      </c>
      <c r="F20" s="142" t="str">
        <f>+VLOOKUP(A20,'Estado SCI'!$A$16:$I$59,9,0)</f>
        <v>Mantenimiento del control</v>
      </c>
      <c r="G20" s="142">
        <f>+VLOOKUP(A20,'Estado SCI'!$A$16:$L$59,12,0)</f>
        <v>40.23456789</v>
      </c>
      <c r="H20" s="142">
        <f t="shared" si="0"/>
        <v>19</v>
      </c>
      <c r="I20" s="142" t="str">
        <f>+IF(VLOOKUP(A20,'Estado SCI'!$A$16:$G$59,7,0)="","",VLOOKUP(A20,'Estado SCI'!$A$16:$G$59,7,0))</f>
        <v>Si</v>
      </c>
      <c r="J20" s="143">
        <f t="shared" si="2"/>
        <v>1</v>
      </c>
      <c r="K20" s="144">
        <f t="shared" si="1"/>
        <v>0.95</v>
      </c>
    </row>
    <row r="21" spans="1:11" ht="15.75" customHeight="1">
      <c r="A21" s="142" t="s">
        <v>189</v>
      </c>
      <c r="B21" s="142" t="s">
        <v>68</v>
      </c>
      <c r="C21" s="142" t="s">
        <v>88</v>
      </c>
      <c r="D21" s="142" t="s">
        <v>34</v>
      </c>
      <c r="E21" s="142" t="s">
        <v>82</v>
      </c>
      <c r="F21" s="142" t="str">
        <f>+VLOOKUP(A21,'Estado SCI'!$A$16:$I$59,9,0)</f>
        <v>Mantenimiento del control</v>
      </c>
      <c r="G21" s="142">
        <f>+VLOOKUP(A21,'Estado SCI'!$A$16:$L$59,12,0)</f>
        <v>40.2345678912</v>
      </c>
      <c r="H21" s="142">
        <f t="shared" si="0"/>
        <v>20</v>
      </c>
      <c r="I21" s="142" t="str">
        <f>+IF(VLOOKUP(A21,'Estado SCI'!$A$16:$G$59,7,0)="","",VLOOKUP(A21,'Estado SCI'!$A$16:$G$59,7,0))</f>
        <v>Si</v>
      </c>
      <c r="J21" s="143">
        <f t="shared" si="2"/>
        <v>1</v>
      </c>
      <c r="K21" s="144">
        <f t="shared" si="1"/>
        <v>0.95</v>
      </c>
    </row>
    <row r="22" spans="1:11" ht="15" customHeight="1">
      <c r="A22" s="142" t="s">
        <v>190</v>
      </c>
      <c r="B22" s="142" t="s">
        <v>68</v>
      </c>
      <c r="C22" s="142" t="s">
        <v>97</v>
      </c>
      <c r="D22" s="142" t="s">
        <v>38</v>
      </c>
      <c r="E22" s="142" t="s">
        <v>83</v>
      </c>
      <c r="F22" s="142" t="str">
        <f>+VLOOKUP(A22,'Estado SCI'!$A$16:$I$59,9,0)</f>
        <v>Mantenimiento del control</v>
      </c>
      <c r="G22" s="142">
        <f>+VLOOKUP(A22,'Estado SCI'!$A$16:$L$59,12,0)</f>
        <v>40.23456789123</v>
      </c>
      <c r="H22" s="142">
        <f t="shared" si="0"/>
        <v>21</v>
      </c>
      <c r="I22" s="142" t="str">
        <f>+IF(VLOOKUP(A22,'Estado SCI'!$A$16:$G$59,7,0)="","",VLOOKUP(A22,'Estado SCI'!$A$16:$G$59,7,0))</f>
        <v>Si</v>
      </c>
      <c r="J22" s="143">
        <f t="shared" si="2"/>
        <v>1</v>
      </c>
      <c r="K22" s="144">
        <f t="shared" si="1"/>
        <v>0.95</v>
      </c>
    </row>
    <row r="23" spans="1:11" ht="15" customHeight="1">
      <c r="A23" s="142" t="s">
        <v>191</v>
      </c>
      <c r="B23" s="142" t="s">
        <v>68</v>
      </c>
      <c r="C23" s="142" t="s">
        <v>97</v>
      </c>
      <c r="D23" s="142" t="s">
        <v>42</v>
      </c>
      <c r="E23" s="142" t="s">
        <v>85</v>
      </c>
      <c r="F23" s="142" t="str">
        <f>+VLOOKUP(A23,'Estado SCI'!$A$16:$I$59,9,0)</f>
        <v>Mantenimiento del control</v>
      </c>
      <c r="G23" s="142">
        <f>+VLOOKUP(A23,'Estado SCI'!$A$16:$L$59,12,0)</f>
        <v>40.234567891234</v>
      </c>
      <c r="H23" s="142">
        <f t="shared" si="0"/>
        <v>22</v>
      </c>
      <c r="I23" s="142" t="str">
        <f>+IF(VLOOKUP(A23,'Estado SCI'!$A$16:$G$59,7,0)="","",VLOOKUP(A23,'Estado SCI'!$A$16:$G$59,7,0))</f>
        <v>Si</v>
      </c>
      <c r="J23" s="143">
        <f t="shared" si="2"/>
        <v>1</v>
      </c>
      <c r="K23" s="144">
        <f t="shared" si="1"/>
        <v>0.95</v>
      </c>
    </row>
    <row r="24" spans="1:11" ht="15" customHeight="1">
      <c r="A24" s="142" t="s">
        <v>192</v>
      </c>
      <c r="B24" s="142" t="str">
        <f>+VLOOKUP(A24,'Estado SCI'!$A$16:$C$59,3,0)</f>
        <v>ACTIVIDADES DE CONTROL</v>
      </c>
      <c r="C24" s="142" t="s">
        <v>97</v>
      </c>
      <c r="D24" s="142" t="s">
        <v>34</v>
      </c>
      <c r="E24" s="142" t="s">
        <v>89</v>
      </c>
      <c r="F24" s="142" t="str">
        <f>+VLOOKUP(A24,'Estado SCI'!$A$16:$I$59,9,0)</f>
        <v>Mantenimiento del control</v>
      </c>
      <c r="G24" s="142">
        <f>+VLOOKUP(A24,'Estado SCI'!$A$16:$L$59,12,0)</f>
        <v>60.31</v>
      </c>
      <c r="H24" s="142">
        <f t="shared" si="0"/>
        <v>25</v>
      </c>
      <c r="I24" s="142" t="str">
        <f>+IF(VLOOKUP(A24,'Estado SCI'!$A$16:$G$59,7,0)="","",VLOOKUP(A24,'Estado SCI'!$A$16:$G$59,7,0))</f>
        <v>Si</v>
      </c>
      <c r="J24" s="143">
        <f t="shared" si="2"/>
        <v>1</v>
      </c>
      <c r="K24" s="144">
        <f t="shared" si="1"/>
        <v>0.8</v>
      </c>
    </row>
    <row r="25" spans="1:11" ht="15" customHeight="1">
      <c r="A25" s="142" t="s">
        <v>193</v>
      </c>
      <c r="B25" s="142" t="s">
        <v>87</v>
      </c>
      <c r="C25" s="142" t="s">
        <v>97</v>
      </c>
      <c r="D25" s="142" t="s">
        <v>38</v>
      </c>
      <c r="E25" s="142" t="s">
        <v>90</v>
      </c>
      <c r="F25" s="142" t="str">
        <f>+VLOOKUP(A25,'Estado SCI'!$A$16:$I$59,9,0)</f>
        <v>Oportunidad de mejora</v>
      </c>
      <c r="G25" s="142">
        <f>+VLOOKUP(A25,'Estado SCI'!$A$16:$L$59,12,0)</f>
        <v>50.323</v>
      </c>
      <c r="H25" s="142">
        <f t="shared" si="0"/>
        <v>23</v>
      </c>
      <c r="I25" s="142" t="str">
        <f>+IF(VLOOKUP(A25,'Estado SCI'!$A$16:$G$59,7,0)="","",VLOOKUP(A25,'Estado SCI'!$A$16:$G$59,7,0))</f>
        <v>En proceso</v>
      </c>
      <c r="J25" s="143">
        <f t="shared" si="2"/>
        <v>0.5</v>
      </c>
      <c r="K25" s="144">
        <f t="shared" si="1"/>
        <v>0.8</v>
      </c>
    </row>
    <row r="26" spans="1:11" ht="15" customHeight="1">
      <c r="A26" s="142" t="s">
        <v>194</v>
      </c>
      <c r="B26" s="142" t="s">
        <v>87</v>
      </c>
      <c r="C26" s="142" t="s">
        <v>97</v>
      </c>
      <c r="D26" s="142" t="s">
        <v>42</v>
      </c>
      <c r="E26" s="142" t="s">
        <v>91</v>
      </c>
      <c r="F26" s="142" t="str">
        <f>+VLOOKUP(A26,'Estado SCI'!$A$16:$I$59,9,0)</f>
        <v>Oportunidad de mejora</v>
      </c>
      <c r="G26" s="142">
        <f>+VLOOKUP(A26,'Estado SCI'!$A$16:$L$59,12,0)</f>
        <v>50.324</v>
      </c>
      <c r="H26" s="142">
        <f t="shared" si="0"/>
        <v>24</v>
      </c>
      <c r="I26" s="142" t="str">
        <f>+IF(VLOOKUP(A26,'Estado SCI'!$A$16:$G$59,7,0)="","",VLOOKUP(A26,'Estado SCI'!$A$16:$G$59,7,0))</f>
        <v>En proceso</v>
      </c>
      <c r="J26" s="143">
        <f t="shared" si="2"/>
        <v>0.5</v>
      </c>
      <c r="K26" s="144">
        <f t="shared" si="1"/>
        <v>0.8</v>
      </c>
    </row>
    <row r="27" spans="1:11" ht="15.75" customHeight="1">
      <c r="A27" s="142" t="s">
        <v>195</v>
      </c>
      <c r="B27" s="142" t="s">
        <v>87</v>
      </c>
      <c r="C27" s="142" t="s">
        <v>97</v>
      </c>
      <c r="D27" s="142" t="s">
        <v>44</v>
      </c>
      <c r="E27" s="142" t="s">
        <v>92</v>
      </c>
      <c r="F27" s="142" t="str">
        <f>+VLOOKUP(A27,'Estado SCI'!$A$16:$I$59,9,0)</f>
        <v>Mantenimiento del control</v>
      </c>
      <c r="G27" s="142">
        <f>+VLOOKUP(A27,'Estado SCI'!$A$16:$L$59,12,0)</f>
        <v>60.325</v>
      </c>
      <c r="H27" s="142">
        <f t="shared" si="0"/>
        <v>26</v>
      </c>
      <c r="I27" s="142" t="str">
        <f>+IF(VLOOKUP(A27,'Estado SCI'!$A$16:$G$59,7,0)="","",VLOOKUP(A27,'Estado SCI'!$A$16:$G$59,7,0))</f>
        <v>Si</v>
      </c>
      <c r="J27" s="143">
        <f t="shared" si="2"/>
        <v>1</v>
      </c>
      <c r="K27" s="144">
        <f t="shared" si="1"/>
        <v>0.8</v>
      </c>
    </row>
    <row r="28" spans="1:11" ht="15" customHeight="1">
      <c r="A28" s="142" t="s">
        <v>196</v>
      </c>
      <c r="B28" s="142" t="s">
        <v>87</v>
      </c>
      <c r="C28" s="142" t="s">
        <v>114</v>
      </c>
      <c r="D28" s="142" t="s">
        <v>47</v>
      </c>
      <c r="E28" s="142" t="s">
        <v>94</v>
      </c>
      <c r="F28" s="142" t="str">
        <f>+VLOOKUP(A28,'Estado SCI'!$A$16:$I$59,9,0)</f>
        <v>Mantenimiento del control</v>
      </c>
      <c r="G28" s="142">
        <f>+VLOOKUP(A28,'Estado SCI'!$A$16:$L$59,12,0)</f>
        <v>60.326</v>
      </c>
      <c r="H28" s="142">
        <f t="shared" si="0"/>
        <v>27</v>
      </c>
      <c r="I28" s="142" t="str">
        <f>+IF(VLOOKUP(A28,'Estado SCI'!$A$16:$G$59,7,0)="","",VLOOKUP(A28,'Estado SCI'!$A$16:$G$59,7,0))</f>
        <v>Si</v>
      </c>
      <c r="J28" s="143">
        <f t="shared" si="2"/>
        <v>1</v>
      </c>
      <c r="K28" s="144">
        <f t="shared" si="1"/>
        <v>0.8</v>
      </c>
    </row>
    <row r="29" spans="1:11" ht="15" customHeight="1">
      <c r="A29" s="142" t="s">
        <v>197</v>
      </c>
      <c r="B29" s="142" t="str">
        <f>+VLOOKUP(A29,'Estado SCI'!$A$16:$C$59,3,0)</f>
        <v>INFORMACION Y COMUNICACIÓN</v>
      </c>
      <c r="C29" s="142" t="s">
        <v>114</v>
      </c>
      <c r="D29" s="142" t="s">
        <v>34</v>
      </c>
      <c r="E29" s="142" t="s">
        <v>98</v>
      </c>
      <c r="F29" s="142" t="str">
        <f>+VLOOKUP(A29,'Estado SCI'!$A$16:$I$59,9,0)</f>
        <v>Mantenimiento del control</v>
      </c>
      <c r="G29" s="142">
        <f>+VLOOKUP(A29,'Estado SCI'!$A$16:$L$59,12,0)</f>
        <v>80.412</v>
      </c>
      <c r="H29" s="142">
        <f t="shared" si="0"/>
        <v>31</v>
      </c>
      <c r="I29" s="142" t="str">
        <f>+IF(VLOOKUP(A29,'Estado SCI'!$A$16:$G$59,7,0)="","",VLOOKUP(A29,'Estado SCI'!$A$16:$G$59,7,0))</f>
        <v>Si</v>
      </c>
      <c r="J29" s="143">
        <f t="shared" si="2"/>
        <v>1</v>
      </c>
      <c r="K29" s="144">
        <f t="shared" si="1"/>
        <v>0.7142857142857143</v>
      </c>
    </row>
    <row r="30" spans="1:11" ht="15" customHeight="1">
      <c r="A30" s="142" t="s">
        <v>198</v>
      </c>
      <c r="B30" s="142" t="s">
        <v>96</v>
      </c>
      <c r="C30" s="142" t="s">
        <v>114</v>
      </c>
      <c r="D30" s="142" t="s">
        <v>38</v>
      </c>
      <c r="E30" s="142" t="s">
        <v>100</v>
      </c>
      <c r="F30" s="142" t="str">
        <f>+VLOOKUP(A30,'Estado SCI'!$A$16:$I$59,9,0)</f>
        <v>Mantenimiento del control</v>
      </c>
      <c r="G30" s="142">
        <f>+VLOOKUP(A30,'Estado SCI'!$A$16:$L$59,12,0)</f>
        <v>80.4123</v>
      </c>
      <c r="H30" s="142">
        <f t="shared" si="0"/>
        <v>32</v>
      </c>
      <c r="I30" s="142" t="str">
        <f>+IF(VLOOKUP(A30,'Estado SCI'!$A$16:$G$59,7,0)="","",VLOOKUP(A30,'Estado SCI'!$A$16:$G$59,7,0))</f>
        <v>Si</v>
      </c>
      <c r="J30" s="143">
        <f t="shared" si="2"/>
        <v>1</v>
      </c>
      <c r="K30" s="144">
        <f t="shared" si="1"/>
        <v>0.7142857142857143</v>
      </c>
    </row>
    <row r="31" spans="1:11" ht="15.75" customHeight="1">
      <c r="A31" s="142" t="s">
        <v>199</v>
      </c>
      <c r="B31" s="142" t="s">
        <v>96</v>
      </c>
      <c r="C31" s="142" t="s">
        <v>114</v>
      </c>
      <c r="D31" s="142" t="s">
        <v>42</v>
      </c>
      <c r="E31" s="142" t="s">
        <v>102</v>
      </c>
      <c r="F31" s="142" t="str">
        <f>+VLOOKUP(A31,'Estado SCI'!$A$16:$I$59,9,0)</f>
        <v>Mantenimiento del control</v>
      </c>
      <c r="G31" s="142">
        <f>+VLOOKUP(A31,'Estado SCI'!$A$16:$L$59,12,0)</f>
        <v>80.41234</v>
      </c>
      <c r="H31" s="142">
        <f t="shared" si="0"/>
        <v>33</v>
      </c>
      <c r="I31" s="142" t="str">
        <f>+IF(VLOOKUP(A31,'Estado SCI'!$A$16:$G$59,7,0)="","",VLOOKUP(A31,'Estado SCI'!$A$16:$G$59,7,0))</f>
        <v>Si</v>
      </c>
      <c r="J31" s="143">
        <f t="shared" si="2"/>
        <v>1</v>
      </c>
      <c r="K31" s="144">
        <f t="shared" si="1"/>
        <v>0.7142857142857143</v>
      </c>
    </row>
    <row r="32" spans="1:11" ht="15">
      <c r="A32" s="142" t="s">
        <v>200</v>
      </c>
      <c r="B32" s="142" t="s">
        <v>96</v>
      </c>
      <c r="C32" s="142" t="s">
        <v>122</v>
      </c>
      <c r="D32" s="142" t="s">
        <v>44</v>
      </c>
      <c r="E32" s="142" t="s">
        <v>104</v>
      </c>
      <c r="F32" s="142" t="str">
        <f>+VLOOKUP(A32,'Estado SCI'!$A$16:$I$59,9,0)</f>
        <v>Deficiencia de control</v>
      </c>
      <c r="G32" s="142">
        <f>+VLOOKUP(A32,'Estado SCI'!$A$16:$L$59,12,0)</f>
        <v>60.412345</v>
      </c>
      <c r="H32" s="142">
        <f t="shared" si="0"/>
        <v>28</v>
      </c>
      <c r="I32" s="142" t="str">
        <f>+IF(VLOOKUP(A32,'Estado SCI'!$A$16:$G$59,7,0)="","",VLOOKUP(A32,'Estado SCI'!$A$16:$G$59,7,0))</f>
        <v>No</v>
      </c>
      <c r="J32" s="143">
        <f t="shared" si="2"/>
        <v>0</v>
      </c>
      <c r="K32" s="144">
        <f t="shared" si="1"/>
        <v>0.7142857142857143</v>
      </c>
    </row>
    <row r="33" spans="1:11" ht="15">
      <c r="A33" s="142" t="s">
        <v>201</v>
      </c>
      <c r="B33" s="142" t="s">
        <v>96</v>
      </c>
      <c r="C33" s="142" t="s">
        <v>202</v>
      </c>
      <c r="D33" s="142" t="s">
        <v>47</v>
      </c>
      <c r="E33" s="142" t="s">
        <v>106</v>
      </c>
      <c r="F33" s="142" t="str">
        <f>+VLOOKUP(A33,'Estado SCI'!$A$16:$I$59,9,0)</f>
        <v>Oportunidad de mejora</v>
      </c>
      <c r="G33" s="142">
        <f>+VLOOKUP(A33,'Estado SCI'!$A$16:$L$59,12,0)</f>
        <v>70.4123456</v>
      </c>
      <c r="H33" s="142">
        <f t="shared" si="0"/>
        <v>29</v>
      </c>
      <c r="I33" s="142" t="str">
        <f>+IF(VLOOKUP(A33,'Estado SCI'!$A$16:$G$59,7,0)="","",VLOOKUP(A33,'Estado SCI'!$A$16:$G$59,7,0))</f>
        <v>En proceso</v>
      </c>
      <c r="J33" s="143">
        <f t="shared" si="2"/>
        <v>0.5</v>
      </c>
      <c r="K33" s="144">
        <f t="shared" si="1"/>
        <v>0.7142857142857143</v>
      </c>
    </row>
    <row r="34" spans="1:11" ht="15">
      <c r="A34" s="142" t="s">
        <v>203</v>
      </c>
      <c r="B34" s="142" t="s">
        <v>96</v>
      </c>
      <c r="C34" s="142" t="s">
        <v>202</v>
      </c>
      <c r="D34" s="142" t="s">
        <v>50</v>
      </c>
      <c r="E34" s="142" t="s">
        <v>108</v>
      </c>
      <c r="F34" s="142" t="str">
        <f>+VLOOKUP(A34,'Estado SCI'!$A$16:$I$59,9,0)</f>
        <v>Oportunidad de mejora</v>
      </c>
      <c r="G34" s="142">
        <f>+VLOOKUP(A34,'Estado SCI'!$A$16:$L$59,12,0)</f>
        <v>70.41234567</v>
      </c>
      <c r="H34" s="142">
        <f t="shared" si="0"/>
        <v>30</v>
      </c>
      <c r="I34" s="142" t="str">
        <f>+IF(VLOOKUP(A34,'Estado SCI'!$A$16:$G$59,7,0)="","",VLOOKUP(A34,'Estado SCI'!$A$16:$G$59,7,0))</f>
        <v>En proceso</v>
      </c>
      <c r="J34" s="143">
        <f t="shared" si="2"/>
        <v>0.5</v>
      </c>
      <c r="K34" s="144">
        <f t="shared" si="1"/>
        <v>0.7142857142857143</v>
      </c>
    </row>
    <row r="35" spans="1:11" ht="15">
      <c r="A35" s="142" t="s">
        <v>204</v>
      </c>
      <c r="B35" s="142" t="s">
        <v>96</v>
      </c>
      <c r="C35" s="142" t="s">
        <v>202</v>
      </c>
      <c r="D35" s="142" t="s">
        <v>53</v>
      </c>
      <c r="E35" s="142" t="s">
        <v>110</v>
      </c>
      <c r="F35" s="142" t="str">
        <f>+VLOOKUP(A35,'Estado SCI'!$A$16:$I$59,9,0)</f>
        <v>Mantenimiento del control</v>
      </c>
      <c r="G35" s="142">
        <f>+VLOOKUP(A35,'Estado SCI'!$A$16:$L$59,12,0)</f>
        <v>80.412345678</v>
      </c>
      <c r="H35" s="142">
        <f t="shared" si="0"/>
        <v>34</v>
      </c>
      <c r="I35" s="142" t="str">
        <f>+IF(VLOOKUP(A35,'Estado SCI'!$A$16:$G$59,7,0)="","",VLOOKUP(A35,'Estado SCI'!$A$16:$G$59,7,0))</f>
        <v>Si</v>
      </c>
      <c r="J35" s="143">
        <f t="shared" si="2"/>
        <v>1</v>
      </c>
      <c r="K35" s="144">
        <f t="shared" si="1"/>
        <v>0.7142857142857143</v>
      </c>
    </row>
    <row r="36" spans="1:11" ht="15">
      <c r="A36" s="142" t="s">
        <v>205</v>
      </c>
      <c r="B36" s="142" t="str">
        <f>+VLOOKUP(A36,'Estado SCI'!$A$16:$C$59,3,0)</f>
        <v>ACTIVIDADES DE MONITOREO</v>
      </c>
      <c r="C36" s="142" t="s">
        <v>202</v>
      </c>
      <c r="D36" s="142" t="s">
        <v>34</v>
      </c>
      <c r="E36" s="142" t="s">
        <v>115</v>
      </c>
      <c r="F36" s="142" t="str">
        <f>+VLOOKUP(A36,'Estado SCI'!$A$16:$I$59,9,0)</f>
        <v>Mantenimiento del control</v>
      </c>
      <c r="G36" s="142">
        <f>+VLOOKUP(A36,'Estado SCI'!$A$16:$L$59,12,0)</f>
        <v>120.851</v>
      </c>
      <c r="H36" s="142">
        <f t="shared" si="0"/>
        <v>39</v>
      </c>
      <c r="I36" s="142" t="str">
        <f>+IF(VLOOKUP(A36,'Estado SCI'!$A$16:$G$59,7,0)="","",VLOOKUP(A36,'Estado SCI'!$A$16:$G$59,7,0))</f>
        <v>Si</v>
      </c>
      <c r="J36" s="143">
        <f t="shared" si="2"/>
        <v>1</v>
      </c>
      <c r="K36" s="144">
        <f t="shared" si="1"/>
        <v>0.8</v>
      </c>
    </row>
    <row r="37" spans="1:11" ht="15">
      <c r="A37" s="142" t="s">
        <v>206</v>
      </c>
      <c r="B37" s="142" t="s">
        <v>113</v>
      </c>
      <c r="C37" s="142" t="s">
        <v>202</v>
      </c>
      <c r="D37" s="142" t="s">
        <v>44</v>
      </c>
      <c r="E37" s="142" t="s">
        <v>116</v>
      </c>
      <c r="F37" s="142" t="str">
        <f>+VLOOKUP(A37,'Estado SCI'!$A$16:$I$59,9,0)</f>
        <v>Mantenimiento del control</v>
      </c>
      <c r="G37" s="142">
        <f>+VLOOKUP(A37,'Estado SCI'!$A$16:$L$59,12,0)</f>
        <v>120.8512</v>
      </c>
      <c r="H37" s="142">
        <f t="shared" si="0"/>
        <v>40</v>
      </c>
      <c r="I37" s="142" t="str">
        <f>+IF(VLOOKUP(A37,'Estado SCI'!$A$16:$G$59,7,0)="","",VLOOKUP(A37,'Estado SCI'!$A$16:$G$59,7,0))</f>
        <v>Si</v>
      </c>
      <c r="J37" s="143">
        <f t="shared" si="2"/>
        <v>1</v>
      </c>
      <c r="K37" s="144">
        <f t="shared" si="1"/>
        <v>0.8</v>
      </c>
    </row>
    <row r="38" spans="1:11" ht="15">
      <c r="A38" s="142" t="s">
        <v>207</v>
      </c>
      <c r="B38" s="142" t="s">
        <v>113</v>
      </c>
      <c r="C38" s="142" t="s">
        <v>75</v>
      </c>
      <c r="D38" s="142" t="s">
        <v>50</v>
      </c>
      <c r="E38" s="142" t="s">
        <v>117</v>
      </c>
      <c r="F38" s="142" t="str">
        <f>+VLOOKUP(A38,'Estado SCI'!$A$16:$I$59,9,0)</f>
        <v>Mantenimiento del control</v>
      </c>
      <c r="G38" s="142">
        <f>+VLOOKUP(A38,'Estado SCI'!$A$16:$L$59,12,0)</f>
        <v>120.85123</v>
      </c>
      <c r="H38" s="142">
        <f t="shared" si="0"/>
        <v>41</v>
      </c>
      <c r="I38" s="142" t="str">
        <f>+IF(VLOOKUP(A38,'Estado SCI'!$A$16:$G$59,7,0)="","",VLOOKUP(A38,'Estado SCI'!$A$16:$G$59,7,0))</f>
        <v>Si</v>
      </c>
      <c r="J38" s="143">
        <f t="shared" si="2"/>
        <v>1</v>
      </c>
      <c r="K38" s="144">
        <f t="shared" si="1"/>
        <v>0.8</v>
      </c>
    </row>
    <row r="39" spans="1:11" ht="15">
      <c r="A39" s="142" t="s">
        <v>208</v>
      </c>
      <c r="B39" s="142" t="s">
        <v>113</v>
      </c>
      <c r="C39" s="142" t="s">
        <v>75</v>
      </c>
      <c r="D39" s="142" t="s">
        <v>53</v>
      </c>
      <c r="E39" s="142" t="s">
        <v>119</v>
      </c>
      <c r="F39" s="142" t="str">
        <f>+VLOOKUP(A39,'Estado SCI'!$A$16:$I$59,9,0)</f>
        <v>Mantenimiento del control</v>
      </c>
      <c r="G39" s="142">
        <f>+VLOOKUP(A39,'Estado SCI'!$A$16:$L$59,12,0)</f>
        <v>120.851234</v>
      </c>
      <c r="H39" s="142">
        <f t="shared" si="0"/>
        <v>42</v>
      </c>
      <c r="I39" s="142" t="str">
        <f>+IF(VLOOKUP(A39,'Estado SCI'!$A$16:$G$59,7,0)="","",VLOOKUP(A39,'Estado SCI'!$A$16:$G$59,7,0))</f>
        <v>Si</v>
      </c>
      <c r="J39" s="143">
        <f t="shared" si="2"/>
        <v>1</v>
      </c>
      <c r="K39" s="144">
        <f t="shared" si="1"/>
        <v>0.8</v>
      </c>
    </row>
    <row r="40" spans="1:11" ht="15">
      <c r="A40" s="142" t="s">
        <v>209</v>
      </c>
      <c r="B40" s="142" t="s">
        <v>113</v>
      </c>
      <c r="C40" s="142" t="s">
        <v>75</v>
      </c>
      <c r="D40" s="142" t="s">
        <v>55</v>
      </c>
      <c r="E40" s="142" t="s">
        <v>123</v>
      </c>
      <c r="F40" s="142" t="str">
        <f>+VLOOKUP(A40,'Estado SCI'!$A$16:$I$59,9,0)</f>
        <v>Mantenimiento del control</v>
      </c>
      <c r="G40" s="142">
        <f>+VLOOKUP(A40,'Estado SCI'!$A$16:$L$59,12,0)</f>
        <v>120.8512345</v>
      </c>
      <c r="H40" s="142">
        <f t="shared" si="0"/>
        <v>43</v>
      </c>
      <c r="I40" s="142" t="str">
        <f>+IF(VLOOKUP(A40,'Estado SCI'!$A$16:$G$59,7,0)="","",VLOOKUP(A40,'Estado SCI'!$A$16:$G$59,7,0))</f>
        <v>Si</v>
      </c>
      <c r="J40" s="143">
        <f t="shared" si="2"/>
        <v>1</v>
      </c>
      <c r="K40" s="144">
        <f t="shared" si="1"/>
        <v>0.8</v>
      </c>
    </row>
    <row r="41" spans="1:11" ht="15">
      <c r="A41" s="142" t="s">
        <v>210</v>
      </c>
      <c r="B41" s="142" t="s">
        <v>113</v>
      </c>
      <c r="C41" s="142" t="s">
        <v>75</v>
      </c>
      <c r="D41" s="142" t="s">
        <v>34</v>
      </c>
      <c r="E41" s="142" t="s">
        <v>127</v>
      </c>
      <c r="F41" s="142" t="str">
        <f>+VLOOKUP(A41,'Estado SCI'!$A$16:$I$59,9,0)</f>
        <v>Oportunidad de mejora</v>
      </c>
      <c r="G41" s="142">
        <f>+VLOOKUP(A41,'Estado SCI'!$A$16:$L$59,12,0)</f>
        <v>100.85123456</v>
      </c>
      <c r="H41" s="142">
        <f t="shared" si="0"/>
        <v>35</v>
      </c>
      <c r="I41" s="142" t="str">
        <f>+IF(VLOOKUP(A41,'Estado SCI'!$A$16:$G$59,7,0)="","",VLOOKUP(A41,'Estado SCI'!$A$16:$G$59,7,0))</f>
        <v>En proceso</v>
      </c>
      <c r="J41" s="143">
        <f t="shared" si="2"/>
        <v>0.5</v>
      </c>
      <c r="K41" s="144">
        <f t="shared" si="1"/>
        <v>0.8</v>
      </c>
    </row>
    <row r="42" spans="1:11" ht="15">
      <c r="A42" s="142" t="s">
        <v>211</v>
      </c>
      <c r="B42" s="142" t="s">
        <v>113</v>
      </c>
      <c r="C42" s="142" t="s">
        <v>81</v>
      </c>
      <c r="D42" s="142" t="s">
        <v>38</v>
      </c>
      <c r="E42" s="142" t="s">
        <v>129</v>
      </c>
      <c r="F42" s="142" t="str">
        <f>+VLOOKUP(A42,'Estado SCI'!$A$16:$I$59,9,0)</f>
        <v>Oportunidad de mejora</v>
      </c>
      <c r="G42" s="142">
        <f>+VLOOKUP(A42,'Estado SCI'!$A$16:$L$59,12,0)</f>
        <v>100.851234567</v>
      </c>
      <c r="H42" s="142">
        <f t="shared" si="0"/>
        <v>36</v>
      </c>
      <c r="I42" s="142" t="str">
        <f>+IF(VLOOKUP(A42,'Estado SCI'!$A$16:$G$59,7,0)="","",VLOOKUP(A42,'Estado SCI'!$A$16:$G$59,7,0))</f>
        <v>En proceso</v>
      </c>
      <c r="J42" s="143">
        <f t="shared" si="2"/>
        <v>0.5</v>
      </c>
      <c r="K42" s="144">
        <f t="shared" si="1"/>
        <v>0.8</v>
      </c>
    </row>
    <row r="43" spans="1:11" ht="15">
      <c r="A43" s="142" t="s">
        <v>212</v>
      </c>
      <c r="B43" s="142" t="s">
        <v>113</v>
      </c>
      <c r="C43" s="142" t="s">
        <v>81</v>
      </c>
      <c r="D43" s="142" t="s">
        <v>42</v>
      </c>
      <c r="E43" s="142" t="s">
        <v>131</v>
      </c>
      <c r="F43" s="142" t="str">
        <f>+VLOOKUP(A43,'Estado SCI'!$A$16:$I$59,9,0)</f>
        <v>Oportunidad de mejora</v>
      </c>
      <c r="G43" s="142">
        <f>+VLOOKUP(A43,'Estado SCI'!$A$16:$L$59,12,0)</f>
        <v>100.8512345678</v>
      </c>
      <c r="H43" s="142">
        <f t="shared" si="0"/>
        <v>37</v>
      </c>
      <c r="I43" s="142" t="str">
        <f>+IF(VLOOKUP(A43,'Estado SCI'!$A$16:$G$59,7,0)="","",VLOOKUP(A43,'Estado SCI'!$A$16:$G$59,7,0))</f>
        <v>En proceso</v>
      </c>
      <c r="J43" s="143">
        <f t="shared" si="2"/>
        <v>0.5</v>
      </c>
      <c r="K43" s="144">
        <f t="shared" si="1"/>
        <v>0.8</v>
      </c>
    </row>
    <row r="44" spans="1:11" ht="15">
      <c r="A44" s="142" t="s">
        <v>213</v>
      </c>
      <c r="B44" s="142" t="s">
        <v>113</v>
      </c>
      <c r="C44" s="142" t="s">
        <v>81</v>
      </c>
      <c r="D44" s="142" t="s">
        <v>44</v>
      </c>
      <c r="E44" s="142" t="s">
        <v>132</v>
      </c>
      <c r="F44" s="142" t="str">
        <f>+VLOOKUP(A44,'Estado SCI'!$A$16:$I$59,9,0)</f>
        <v>Oportunidad de mejora</v>
      </c>
      <c r="G44" s="142">
        <f>+VLOOKUP(A44,'Estado SCI'!$A$16:$L$59,12,0)</f>
        <v>100.85123456789</v>
      </c>
      <c r="H44" s="142">
        <f t="shared" si="0"/>
        <v>38</v>
      </c>
      <c r="I44" s="142" t="str">
        <f>+IF(VLOOKUP(A44,'Estado SCI'!$A$16:$G$59,7,0)="","",VLOOKUP(A44,'Estado SCI'!$A$16:$G$59,7,0))</f>
        <v>En proceso</v>
      </c>
      <c r="J44" s="143">
        <f t="shared" si="2"/>
        <v>0.5</v>
      </c>
      <c r="K44" s="144">
        <f t="shared" si="1"/>
        <v>0.8</v>
      </c>
    </row>
    <row r="45" spans="1:11" ht="15">
      <c r="A45" s="142" t="s">
        <v>214</v>
      </c>
      <c r="B45" s="142" t="s">
        <v>113</v>
      </c>
      <c r="C45" s="142" t="s">
        <v>81</v>
      </c>
      <c r="D45" s="142" t="s">
        <v>47</v>
      </c>
      <c r="E45" s="142" t="s">
        <v>133</v>
      </c>
      <c r="F45" s="142" t="str">
        <f>+VLOOKUP(A45,'Estado SCI'!$A$16:$I$59,9,0)</f>
        <v>Mantenimiento del control</v>
      </c>
      <c r="G45" s="142">
        <f>+VLOOKUP(A45,'Estado SCI'!$A$16:$L$59,12,0)</f>
        <v>120.851234567891</v>
      </c>
      <c r="H45" s="142">
        <f t="shared" si="0"/>
        <v>44</v>
      </c>
      <c r="I45" s="142" t="str">
        <f>+IF(VLOOKUP(A45,'Estado SCI'!$A$16:$G$59,7,0)="","",VLOOKUP(A45,'Estado SCI'!$A$16:$G$59,7,0))</f>
        <v>Si</v>
      </c>
      <c r="J45" s="143">
        <f t="shared" si="2"/>
        <v>1</v>
      </c>
      <c r="K45" s="144">
        <f t="shared" si="1"/>
        <v>0.8</v>
      </c>
    </row>
  </sheetData>
  <sheetProtection sheet="1" objects="1" scenarios="1" selectLockedCells="1"/>
  <autoFilter ref="A1:K45"/>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comunicaciones</cp:lastModifiedBy>
  <dcterms:created xsi:type="dcterms:W3CDTF">2020-04-28T13:58:09Z</dcterms:created>
  <dcterms:modified xsi:type="dcterms:W3CDTF">2024-01-30T16:43:25Z</dcterms:modified>
  <cp:category/>
  <cp:version/>
  <cp:contentType/>
  <cp:contentStatus/>
</cp:coreProperties>
</file>